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2_10.bin" ContentType="application/vnd.openxmlformats-officedocument.oleObject"/>
  <Override PartName="/xl/embeddings/oleObject_2_11.bin" ContentType="application/vnd.openxmlformats-officedocument.oleObject"/>
  <Override PartName="/xl/embeddings/oleObject_2_12.bin" ContentType="application/vnd.openxmlformats-officedocument.oleObject"/>
  <Override PartName="/xl/embeddings/oleObject_2_13.bin" ContentType="application/vnd.openxmlformats-officedocument.oleObject"/>
  <Override PartName="/xl/embeddings/oleObject_2_14.bin" ContentType="application/vnd.openxmlformats-officedocument.oleObject"/>
  <Override PartName="/xl/embeddings/oleObject_2_1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2120" tabRatio="487" activeTab="2"/>
  </bookViews>
  <sheets>
    <sheet name="Pol. de emisor c.a." sheetId="1" r:id="rId1"/>
    <sheet name="Seguidor de tensión c.a." sheetId="2" r:id="rId2"/>
    <sheet name="Amplificador multietapa" sheetId="3" r:id="rId3"/>
    <sheet name="Tablas R, C, D y Zener" sheetId="4" r:id="rId4"/>
  </sheets>
  <definedNames/>
  <calcPr fullCalcOnLoad="1"/>
</workbook>
</file>

<file path=xl/comments1.xml><?xml version="1.0" encoding="utf-8"?>
<comments xmlns="http://schemas.openxmlformats.org/spreadsheetml/2006/main">
  <authors>
    <author>Pedro Diaz</author>
    <author>Pedro</author>
  </authors>
  <commentList>
    <comment ref="A15" authorId="0">
      <text>
        <r>
          <rPr>
            <sz val="8"/>
            <rFont val="Tahoma"/>
            <family val="2"/>
          </rPr>
          <t>Se conocen los valores de todos los componentes y se calculan las tensiones, corrientes, potencias, recta de carga, etc.</t>
        </r>
      </text>
    </comment>
    <comment ref="C21" authorId="0">
      <text>
        <r>
          <rPr>
            <sz val="8"/>
            <rFont val="Tahoma"/>
            <family val="2"/>
          </rPr>
          <t>Es un número adimensional.</t>
        </r>
      </text>
    </comment>
    <comment ref="P15" authorId="1">
      <text>
        <r>
          <rPr>
            <sz val="8"/>
            <rFont val="Tahoma"/>
            <family val="2"/>
          </rPr>
          <t>Es un número negativo y adimensional.</t>
        </r>
      </text>
    </comment>
    <comment ref="P37" authorId="1">
      <text>
        <r>
          <rPr>
            <sz val="8"/>
            <rFont val="Tahoma"/>
            <family val="2"/>
          </rPr>
          <t>Es un número negativo y adimensional.</t>
        </r>
      </text>
    </comment>
  </commentList>
</comments>
</file>

<file path=xl/comments2.xml><?xml version="1.0" encoding="utf-8"?>
<comments xmlns="http://schemas.openxmlformats.org/spreadsheetml/2006/main">
  <authors>
    <author>Pedro Diaz</author>
    <author>Pedro</author>
  </authors>
  <commentList>
    <comment ref="A15" authorId="0">
      <text>
        <r>
          <rPr>
            <sz val="8"/>
            <rFont val="Tahoma"/>
            <family val="2"/>
          </rPr>
          <t>Se conocen los valores de todos los componentes y se calculan las tensiones, corrientes, potencias, recta de carga, etc.</t>
        </r>
      </text>
    </comment>
    <comment ref="C19" authorId="0">
      <text>
        <r>
          <rPr>
            <sz val="8"/>
            <rFont val="Tahoma"/>
            <family val="2"/>
          </rPr>
          <t>Es un número adimensional.</t>
        </r>
      </text>
    </comment>
    <comment ref="Q21" authorId="1">
      <text>
        <r>
          <rPr>
            <sz val="8"/>
            <rFont val="Tahoma"/>
            <family val="2"/>
          </rPr>
          <t>Es un número adimensional y positivo.</t>
        </r>
      </text>
    </comment>
  </commentList>
</comments>
</file>

<file path=xl/comments3.xml><?xml version="1.0" encoding="utf-8"?>
<comments xmlns="http://schemas.openxmlformats.org/spreadsheetml/2006/main">
  <authors>
    <author>Pedro Diaz</author>
    <author>Pedro</author>
  </authors>
  <commentList>
    <comment ref="B18" authorId="0">
      <text>
        <r>
          <rPr>
            <sz val="8"/>
            <rFont val="Tahoma"/>
            <family val="2"/>
          </rPr>
          <t>Se conocen los valores de todos los componentes y se calculan las tensiones, corrientes, potencias, recta de carga, etc.</t>
        </r>
      </text>
    </comment>
    <comment ref="M21" authorId="1">
      <text>
        <r>
          <rPr>
            <b/>
            <sz val="8"/>
            <rFont val="Tahoma"/>
            <family val="2"/>
          </rPr>
          <t>Zonas de trabajo de TR1</t>
        </r>
        <r>
          <rPr>
            <sz val="8"/>
            <rFont val="Tahoma"/>
            <family val="2"/>
          </rPr>
          <t xml:space="preserve">
C = Corte
A = Activa
S = Saturación</t>
        </r>
      </text>
    </comment>
    <comment ref="M34" authorId="1">
      <text>
        <r>
          <rPr>
            <b/>
            <sz val="8"/>
            <rFont val="Tahoma"/>
            <family val="2"/>
          </rPr>
          <t xml:space="preserve">Zonas de trabajo de TR2
</t>
        </r>
        <r>
          <rPr>
            <sz val="8"/>
            <rFont val="Tahoma"/>
            <family val="2"/>
          </rPr>
          <t>C = Corte
A = Activa
S = Saturación</t>
        </r>
      </text>
    </comment>
    <comment ref="L47" authorId="1">
      <text>
        <r>
          <rPr>
            <sz val="8"/>
            <rFont val="Tahoma"/>
            <family val="2"/>
          </rPr>
          <t>Es un número positivo y adimensional.</t>
        </r>
      </text>
    </comment>
    <comment ref="L57" authorId="1">
      <text>
        <r>
          <rPr>
            <sz val="8"/>
            <rFont val="Tahoma"/>
            <family val="2"/>
          </rPr>
          <t>Es un número negativo y adimensional.</t>
        </r>
      </text>
    </comment>
  </commentList>
</comments>
</file>

<file path=xl/sharedStrings.xml><?xml version="1.0" encoding="utf-8"?>
<sst xmlns="http://schemas.openxmlformats.org/spreadsheetml/2006/main" count="509" uniqueCount="288">
  <si>
    <t>Autor: Pedro Díaz Hernández</t>
  </si>
  <si>
    <t>V</t>
  </si>
  <si>
    <t>Ω</t>
  </si>
  <si>
    <t>Ganancia de corriente del transistor (β) =</t>
  </si>
  <si>
    <t>Resistencia de colector (Rc) =</t>
  </si>
  <si>
    <t>Tensión de alimentación (Vcc) =</t>
  </si>
  <si>
    <t>Tensión Colector-Emisor (Vce) =</t>
  </si>
  <si>
    <t>Tensión Base-Emisor (activa) =</t>
  </si>
  <si>
    <t>Tensión Colector-Emisor (saturación) =</t>
  </si>
  <si>
    <t>mA</t>
  </si>
  <si>
    <t>µA</t>
  </si>
  <si>
    <t>Potencia disipada en Rc =</t>
  </si>
  <si>
    <t>mW</t>
  </si>
  <si>
    <t>Potencia total consumida =</t>
  </si>
  <si>
    <t>Punto de trabajo del transistor (Q) =</t>
  </si>
  <si>
    <t>(VceQ;IcQ)</t>
  </si>
  <si>
    <t>R E S I S T E N C I A S</t>
  </si>
  <si>
    <t>Datos Zener de 0.5W</t>
  </si>
  <si>
    <t>Datos Zener de 1W</t>
  </si>
  <si>
    <t>Serie E12</t>
  </si>
  <si>
    <t>Serie E24</t>
  </si>
  <si>
    <t>Tensión Zener (V)</t>
  </si>
  <si>
    <t>Z zener (Ω)</t>
  </si>
  <si>
    <t>Izmax. (mA)</t>
  </si>
  <si>
    <t>Tolerancia ±10%</t>
  </si>
  <si>
    <t>Tolerancia ±5%</t>
  </si>
  <si>
    <t>BZX55C 3V3</t>
  </si>
  <si>
    <t>1N4728 (3,3V)</t>
  </si>
  <si>
    <t>BZX55C 3V6</t>
  </si>
  <si>
    <t>1N4729 (3,6V)</t>
  </si>
  <si>
    <t>BZX55C 3V9</t>
  </si>
  <si>
    <t>1N4730 (3,9V)</t>
  </si>
  <si>
    <t>BZX55C 4V3</t>
  </si>
  <si>
    <t>1N4731 (4,3V)</t>
  </si>
  <si>
    <t>BZX55C 4V7</t>
  </si>
  <si>
    <t>1N4732 (4,7V)</t>
  </si>
  <si>
    <t>BZX55C 5V1</t>
  </si>
  <si>
    <t>1N4733 (5,1V)</t>
  </si>
  <si>
    <t>BZX55C 5V6</t>
  </si>
  <si>
    <t>1N4734 (5,6V)</t>
  </si>
  <si>
    <t>BZX55C 6V2</t>
  </si>
  <si>
    <t>1N4735 (6,2V)</t>
  </si>
  <si>
    <t>BZX55C 6V8</t>
  </si>
  <si>
    <t>1N4736 (6,8V)</t>
  </si>
  <si>
    <t>BZX55C 7V5</t>
  </si>
  <si>
    <t>1N4737 (7,5V)</t>
  </si>
  <si>
    <t>BZX55C 8V2</t>
  </si>
  <si>
    <t>1N4738 (8,2V)</t>
  </si>
  <si>
    <t>BZX55C 9V1</t>
  </si>
  <si>
    <t>1N4739 (9,1V)</t>
  </si>
  <si>
    <t>BZX55C 10</t>
  </si>
  <si>
    <t>1N4740 (10V)</t>
  </si>
  <si>
    <t>BZX55C 11</t>
  </si>
  <si>
    <t>1N4741 (11V)</t>
  </si>
  <si>
    <t>BZX55C 12</t>
  </si>
  <si>
    <t>1N4742 (12V)</t>
  </si>
  <si>
    <t>BZX55C 13</t>
  </si>
  <si>
    <t>1N4743 (13V)</t>
  </si>
  <si>
    <t>BZX55C 15</t>
  </si>
  <si>
    <t>1N4744 (15V)</t>
  </si>
  <si>
    <t>BZX55C 16</t>
  </si>
  <si>
    <t>1N4745 (16V)</t>
  </si>
  <si>
    <t>BZX55C 18</t>
  </si>
  <si>
    <t>1N4746 (18V)</t>
  </si>
  <si>
    <t>BZX55C 20</t>
  </si>
  <si>
    <t>1N4747 (20V)</t>
  </si>
  <si>
    <t>BZX55C 22</t>
  </si>
  <si>
    <t>1N4748 (22V)</t>
  </si>
  <si>
    <t>BZX55C 24</t>
  </si>
  <si>
    <t>1N4749 (24V)</t>
  </si>
  <si>
    <t>BZX55C 27</t>
  </si>
  <si>
    <t>1N4750 (27V)</t>
  </si>
  <si>
    <t>BZX55C 30</t>
  </si>
  <si>
    <t>1N4751 (30V)</t>
  </si>
  <si>
    <t>BZX55C 33</t>
  </si>
  <si>
    <t>1N4752 (33V)</t>
  </si>
  <si>
    <t>C O N D E N S A D O R E S</t>
  </si>
  <si>
    <t>D I O D O S     (Típicos)</t>
  </si>
  <si>
    <t>Cerámicos &amp; Film Plástico</t>
  </si>
  <si>
    <t>Código de colores (1B 2B 3B 4B + Tol.)</t>
  </si>
  <si>
    <t>1N914/4148</t>
  </si>
  <si>
    <t>1N4001</t>
  </si>
  <si>
    <t>1N4007</t>
  </si>
  <si>
    <t>BY255</t>
  </si>
  <si>
    <t>Código de tolerancias</t>
  </si>
  <si>
    <t>1B     2B      4B</t>
  </si>
  <si>
    <t xml:space="preserve">   3B          Tol.</t>
  </si>
  <si>
    <t>DO-35</t>
  </si>
  <si>
    <t>C</t>
  </si>
  <si>
    <t>±0,25pF</t>
  </si>
  <si>
    <t>Plata</t>
  </si>
  <si>
    <t>0,01      ±10%</t>
  </si>
  <si>
    <t>IF(av) = 300mA</t>
  </si>
  <si>
    <t>IF(av) = 1A</t>
  </si>
  <si>
    <t>IF(av) = 3A</t>
  </si>
  <si>
    <t>D</t>
  </si>
  <si>
    <t>±0,5pF</t>
  </si>
  <si>
    <t>Oro</t>
  </si>
  <si>
    <t>0,1        ±5%</t>
  </si>
  <si>
    <t>Ifsm = 1A</t>
  </si>
  <si>
    <t>Ifsm = 30A</t>
  </si>
  <si>
    <t>Ifsm = 100A</t>
  </si>
  <si>
    <t>F</t>
  </si>
  <si>
    <t>±1%</t>
  </si>
  <si>
    <t>Negro</t>
  </si>
  <si>
    <t>0       0       0</t>
  </si>
  <si>
    <t>1         --%</t>
  </si>
  <si>
    <t>Vfm = 1V @ 100mA</t>
  </si>
  <si>
    <t>Vfm = 1,1V @ 1A</t>
  </si>
  <si>
    <t>Vfm = 1,1V @ 3A</t>
  </si>
  <si>
    <t>G</t>
  </si>
  <si>
    <t>±2%</t>
  </si>
  <si>
    <t>Marrón</t>
  </si>
  <si>
    <t>1       1       1</t>
  </si>
  <si>
    <t>10         1%</t>
  </si>
  <si>
    <t>Pd = 0.5W</t>
  </si>
  <si>
    <t>Pd = 2.5W</t>
  </si>
  <si>
    <t>J</t>
  </si>
  <si>
    <t>±5%</t>
  </si>
  <si>
    <t>Rojo</t>
  </si>
  <si>
    <t>2       2       2</t>
  </si>
  <si>
    <t>100         2%</t>
  </si>
  <si>
    <t>Vrrm = 75V</t>
  </si>
  <si>
    <t>Vrrm = 50V</t>
  </si>
  <si>
    <t>Vrrm = 1000V</t>
  </si>
  <si>
    <t>Vrrm = 1300V</t>
  </si>
  <si>
    <t>K</t>
  </si>
  <si>
    <t>±10%</t>
  </si>
  <si>
    <t>Naranja</t>
  </si>
  <si>
    <t>3       3       3</t>
  </si>
  <si>
    <t xml:space="preserve">   1K         --%</t>
  </si>
  <si>
    <t>Irm = 25nA @ 25ºC</t>
  </si>
  <si>
    <t>Irm = 5µA @ 25ºC</t>
  </si>
  <si>
    <t>Irm = 20µA @ 25ºC</t>
  </si>
  <si>
    <t>Y</t>
  </si>
  <si>
    <t>±15%</t>
  </si>
  <si>
    <t>Amarillo</t>
  </si>
  <si>
    <t>4       4       4</t>
  </si>
  <si>
    <t>10K         --%</t>
  </si>
  <si>
    <t>C = 4pF @ 1MHz</t>
  </si>
  <si>
    <t>C = 15pF @ 1MHz</t>
  </si>
  <si>
    <t>C = 50pF @ 1MHz</t>
  </si>
  <si>
    <t>M</t>
  </si>
  <si>
    <t>±20%</t>
  </si>
  <si>
    <t>Verde</t>
  </si>
  <si>
    <t>5       5       5</t>
  </si>
  <si>
    <t>100K      0,5%</t>
  </si>
  <si>
    <t>Q</t>
  </si>
  <si>
    <t>-10% +30%</t>
  </si>
  <si>
    <t>Azul</t>
  </si>
  <si>
    <t>6       6       6</t>
  </si>
  <si>
    <t xml:space="preserve">  1M    0,25%</t>
  </si>
  <si>
    <t>T</t>
  </si>
  <si>
    <t>-10% +50%</t>
  </si>
  <si>
    <t>Violeta</t>
  </si>
  <si>
    <t>7       7       7</t>
  </si>
  <si>
    <t xml:space="preserve">  10M      0,1%</t>
  </si>
  <si>
    <t>U</t>
  </si>
  <si>
    <t>-10% +75%</t>
  </si>
  <si>
    <t>Gris</t>
  </si>
  <si>
    <t>8       8       8</t>
  </si>
  <si>
    <t>S</t>
  </si>
  <si>
    <t>-20% +50%</t>
  </si>
  <si>
    <t>Blanco</t>
  </si>
  <si>
    <t>9       9       9</t>
  </si>
  <si>
    <t>Z</t>
  </si>
  <si>
    <t>-20% +80%</t>
  </si>
  <si>
    <t>D I O D O S     (Fast y Schottky)</t>
  </si>
  <si>
    <t>1N5626</t>
  </si>
  <si>
    <t>Ifsm = 125A</t>
  </si>
  <si>
    <t>Vfm = 1V @ 3A</t>
  </si>
  <si>
    <t>C = 40pF @ 1MHz</t>
  </si>
  <si>
    <t>Vrrm = 600V</t>
  </si>
  <si>
    <t>(Fast) G-3</t>
  </si>
  <si>
    <t>1N5406</t>
  </si>
  <si>
    <t>DO-201A</t>
  </si>
  <si>
    <t>Ifsm = 200A</t>
  </si>
  <si>
    <t>Vfm = 1,2V @ 3A</t>
  </si>
  <si>
    <t>C = 30pF @ 1MHz</t>
  </si>
  <si>
    <t>Pd = 6W</t>
  </si>
  <si>
    <t>Pd = 6.5W</t>
  </si>
  <si>
    <t>MR824</t>
  </si>
  <si>
    <t>(Fast) DO-201A</t>
  </si>
  <si>
    <t>IF(av) = 5A</t>
  </si>
  <si>
    <t>Ifsm = 300A</t>
  </si>
  <si>
    <t>Vrrm = 400V</t>
  </si>
  <si>
    <t>Irm = 25µA @ 25ºC</t>
  </si>
  <si>
    <t>Vfm = 1,1V @ 5A</t>
  </si>
  <si>
    <t>SB540</t>
  </si>
  <si>
    <t>Ifsm = 150A</t>
  </si>
  <si>
    <t>Vrrm = 40V</t>
  </si>
  <si>
    <t>Pd = 5W</t>
  </si>
  <si>
    <t>Vfm = 0,55V @ 5A</t>
  </si>
  <si>
    <t>(Schottky) DO-201A</t>
  </si>
  <si>
    <t>C = 500pF @ 1MHz</t>
  </si>
  <si>
    <t>Irm = 500µA @ 25ºC</t>
  </si>
  <si>
    <t>Potencia disipable por el Transistor =</t>
  </si>
  <si>
    <t>Potencia disipable por cada resistencia =</t>
  </si>
  <si>
    <t>Resistencia de emisor (Re) =</t>
  </si>
  <si>
    <t>Tensión Thevenin en R1-R2 (Vth) =</t>
  </si>
  <si>
    <t>Corriente de base (Ib) =</t>
  </si>
  <si>
    <t>Corriente de emisor (Ie) =</t>
  </si>
  <si>
    <t>Corriente de colector (Ic) =</t>
  </si>
  <si>
    <t>Corriente colector de saturación (ICsat) =</t>
  </si>
  <si>
    <t>Potencia disipada en el Transistor =</t>
  </si>
  <si>
    <t>W</t>
  </si>
  <si>
    <t>Potencia disipada en Re =</t>
  </si>
  <si>
    <t>IR1 =</t>
  </si>
  <si>
    <t>IR2 =</t>
  </si>
  <si>
    <t>Resistencia Thevenin en R1-R2 (Rth) =</t>
  </si>
  <si>
    <t>Extremos de la recta de carga =</t>
  </si>
  <si>
    <t>(Vcc;Icsat)</t>
  </si>
  <si>
    <t>Resistencia de polarización (R1) =</t>
  </si>
  <si>
    <t>Resistencia de polarización (R2) =</t>
  </si>
  <si>
    <t>Caída de tensión (Rc) =</t>
  </si>
  <si>
    <t>Caída de tensión (Re) =</t>
  </si>
  <si>
    <t>R E S U L T A D O S   en corriente alterna (Modelo en 'R')</t>
  </si>
  <si>
    <t>R E S U L T A D O S   en  corriente continua</t>
  </si>
  <si>
    <t>mV</t>
  </si>
  <si>
    <t>Tensión térmica (VT) =</t>
  </si>
  <si>
    <t>Resistencia del modelo de emisor (r'e) =</t>
  </si>
  <si>
    <t>Impedancia de entrada del transistor Zin(TR) =</t>
  </si>
  <si>
    <t>Impedancia de entrada del circuito Zin(CIR) =</t>
  </si>
  <si>
    <t>Impedancia de salida del circuito Zout(CIR) =</t>
  </si>
  <si>
    <t>Resistencia de carga (RLoad) =</t>
  </si>
  <si>
    <t>Ganancia de tensión del circuito (Av) =</t>
  </si>
  <si>
    <t>(Vce,Icsat)</t>
  </si>
  <si>
    <t>Máxima tensión de salida sin distorsión (Mpp) =</t>
  </si>
  <si>
    <t>Vpp</t>
  </si>
  <si>
    <r>
      <t>R E S U L T A D O S   en corriente alterna (Modelo en '</t>
    </r>
    <r>
      <rPr>
        <b/>
        <sz val="8"/>
        <rFont val="Symbol"/>
        <family val="1"/>
      </rPr>
      <t>p</t>
    </r>
    <r>
      <rPr>
        <b/>
        <sz val="8"/>
        <rFont val="Tahoma"/>
        <family val="2"/>
      </rPr>
      <t>')</t>
    </r>
  </si>
  <si>
    <r>
      <t>Resistencia del modelo de base (r</t>
    </r>
    <r>
      <rPr>
        <sz val="8"/>
        <rFont val="Symbol"/>
        <family val="1"/>
      </rPr>
      <t>p</t>
    </r>
    <r>
      <rPr>
        <sz val="8"/>
        <rFont val="Tahoma"/>
        <family val="2"/>
      </rPr>
      <t>) =</t>
    </r>
  </si>
  <si>
    <t>DATOS INICIALES - Emisor común - Pol. Emisor - NPN</t>
  </si>
  <si>
    <t>Relación (IR1/Ib) =</t>
  </si>
  <si>
    <t>DATOS INICIALES - Colector común en c.a. - NPN</t>
  </si>
  <si>
    <t>Caída de tensión (R1) =</t>
  </si>
  <si>
    <t>Potencia disipada en R1 =</t>
  </si>
  <si>
    <t>Tensión máxima de entrada al circuito (VG) =</t>
  </si>
  <si>
    <t>Resistencia de emisor en c.a. (rE) =</t>
  </si>
  <si>
    <t>Impedancia de salida del generador (ZG) =</t>
  </si>
  <si>
    <t>Hz</t>
  </si>
  <si>
    <t>Condensador de acoplo (C1) =</t>
  </si>
  <si>
    <t>Condensador de desacoplo (C2) =</t>
  </si>
  <si>
    <t>uF</t>
  </si>
  <si>
    <t>Potencia de pico-pico en la carga PLoad(pp) =</t>
  </si>
  <si>
    <t>Frecuencia de trabajo inferior =</t>
  </si>
  <si>
    <t>Condensador de paso (C3) =</t>
  </si>
  <si>
    <t>µF</t>
  </si>
  <si>
    <t>Ganancia de potencia =</t>
  </si>
  <si>
    <t>Resistencia de polarización (R3) =</t>
  </si>
  <si>
    <t>Resistencia de polarización (R4) =</t>
  </si>
  <si>
    <t>Resistencia de Emisor (R2) =</t>
  </si>
  <si>
    <t>Resistencia de Colector (R5) =</t>
  </si>
  <si>
    <t>Resistencia de Emisor 2 (R7) =</t>
  </si>
  <si>
    <t>Resistencia de Emisor 1 (R6) =</t>
  </si>
  <si>
    <t>DATOS INICIALES - Amplificador multietapa</t>
  </si>
  <si>
    <t>Carga de salida (Load) =</t>
  </si>
  <si>
    <t>TR1</t>
  </si>
  <si>
    <t>TR2</t>
  </si>
  <si>
    <t>Potencia disipable =</t>
  </si>
  <si>
    <t>Tensión VCE (saturación) =</t>
  </si>
  <si>
    <t>Ganancia de corriente (β) =</t>
  </si>
  <si>
    <t>Tensión VBE (activa) =</t>
  </si>
  <si>
    <t>Caída de tensión en R1 =</t>
  </si>
  <si>
    <t>Caída de tensión en R2 =</t>
  </si>
  <si>
    <t>Punto de trabajo de TR1 (Q) =</t>
  </si>
  <si>
    <t>Potencia total consumida 1ª Etapa =</t>
  </si>
  <si>
    <t>R E S U L T A D O S   en  corriente continua de la 1ª Etapa</t>
  </si>
  <si>
    <t>R E S U L T A D O S   en  corriente continua de la 2ª Etapa</t>
  </si>
  <si>
    <t>Tensión Thevenin en R3-R4 (Vth) =</t>
  </si>
  <si>
    <t>Caída de tensión en R5 =</t>
  </si>
  <si>
    <t>Caída de tensión en R6 =</t>
  </si>
  <si>
    <t>Caída de tensión en R7 =</t>
  </si>
  <si>
    <t>Potencia total consumida 2ª Etapa =</t>
  </si>
  <si>
    <t>Punto de trabajo de TR2 (Q) =</t>
  </si>
  <si>
    <t>Relación (IR3/IB) =</t>
  </si>
  <si>
    <t>Extremos recta de carga =</t>
  </si>
  <si>
    <t>Resistencia Thevenin en R3-R4 (RTh) =</t>
  </si>
  <si>
    <t>Tensión colector-emisor (Vce) =</t>
  </si>
  <si>
    <t>R E S U L T A D O S   en corriente alterna (Modelo en 'T')</t>
  </si>
  <si>
    <t>Impedancia salida Generador (ZGen) =</t>
  </si>
  <si>
    <t>Impedancia entrada del transistor Zin(TR) =</t>
  </si>
  <si>
    <t>Impedancia salida del circuito Zout(CIR) =</t>
  </si>
  <si>
    <t>Impedancia entrada del circuito Zin(CIR) =</t>
  </si>
  <si>
    <t>Máxima tensión salida sin distorsión (Mpp) =</t>
  </si>
  <si>
    <t>Tensión máxima entrada al circuito (VGen) =</t>
  </si>
  <si>
    <t>Condensador de desacoplo (C3) =</t>
  </si>
  <si>
    <t>Potencia pico-pico en la carga PLoad(pp) =</t>
  </si>
  <si>
    <t>Condensador de paso (C4) =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</si>
</sst>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E+00"/>
    <numFmt numFmtId="165" formatCode="0.0000E+00"/>
    <numFmt numFmtId="166" formatCode="0.0000"/>
    <numFmt numFmtId="167" formatCode="0.0"/>
    <numFmt numFmtId="168" formatCode="0.000"/>
    <numFmt numFmtId="169" formatCode="0.0000000"/>
    <numFmt numFmtId="170" formatCode="0.000000"/>
    <numFmt numFmtId="171" formatCode="0.000000000000"/>
    <numFmt numFmtId="172" formatCode="0.00000"/>
    <numFmt numFmtId="173" formatCode="#,##0.000"/>
    <numFmt numFmtId="174" formatCode="#,##0.0"/>
    <numFmt numFmtId="175" formatCode="#,##0.0000000"/>
    <numFmt numFmtId="176" formatCode="#,##0.0000"/>
    <numFmt numFmtId="177" formatCode="0.0%"/>
  </numFmts>
  <fonts count="54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color indexed="9"/>
      <name val="Tahoma"/>
      <family val="2"/>
    </font>
    <font>
      <b/>
      <sz val="8"/>
      <color indexed="9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Symbol"/>
      <family val="1"/>
    </font>
    <font>
      <sz val="8"/>
      <name val="Symbol"/>
      <family val="1"/>
    </font>
    <font>
      <sz val="8"/>
      <color indexed="10"/>
      <name val="Tahoma"/>
      <family val="2"/>
    </font>
    <font>
      <sz val="8"/>
      <color indexed="55"/>
      <name val="Tahoma"/>
      <family val="2"/>
    </font>
    <font>
      <sz val="10"/>
      <color indexed="55"/>
      <name val="Arial"/>
      <family val="0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color indexed="8"/>
      <name val="Arial"/>
      <family val="0"/>
    </font>
    <font>
      <sz val="8"/>
      <color indexed="8"/>
      <name val="Verdana"/>
      <family val="0"/>
    </font>
    <font>
      <sz val="8"/>
      <color indexed="48"/>
      <name val="Verdana"/>
      <family val="0"/>
    </font>
    <font>
      <b/>
      <sz val="8"/>
      <color indexed="48"/>
      <name val="Verdana"/>
      <family val="0"/>
    </font>
    <font>
      <b/>
      <sz val="8"/>
      <color indexed="10"/>
      <name val="Verdana"/>
      <family val="0"/>
    </font>
    <font>
      <b/>
      <sz val="8"/>
      <color indexed="49"/>
      <name val="Tahoma"/>
      <family val="0"/>
    </font>
    <font>
      <b/>
      <sz val="8"/>
      <color indexed="10"/>
      <name val="Tahoma"/>
      <family val="0"/>
    </font>
    <font>
      <b/>
      <sz val="10"/>
      <color indexed="48"/>
      <name val="Trebuchet MS"/>
      <family val="0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006100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sz val="8"/>
      <color rgb="FFFA7D00"/>
      <name val="Tahoma"/>
      <family val="2"/>
    </font>
    <font>
      <b/>
      <sz val="11"/>
      <color theme="3"/>
      <name val="Tahoma"/>
      <family val="2"/>
    </font>
    <font>
      <sz val="8"/>
      <color rgb="FF3F3F76"/>
      <name val="Tahoma"/>
      <family val="2"/>
    </font>
    <font>
      <sz val="8"/>
      <color rgb="FF9C0006"/>
      <name val="Tahoma"/>
      <family val="2"/>
    </font>
    <font>
      <sz val="8"/>
      <color rgb="FF9C6500"/>
      <name val="Tahoma"/>
      <family val="2"/>
    </font>
    <font>
      <b/>
      <sz val="8"/>
      <color rgb="FF3F3F3F"/>
      <name val="Tahoma"/>
      <family val="2"/>
    </font>
    <font>
      <sz val="8"/>
      <color rgb="FFFF0000"/>
      <name val="Tahoma"/>
      <family val="2"/>
    </font>
    <font>
      <i/>
      <sz val="8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8"/>
      <color theme="1"/>
      <name val="Tahoma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double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double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double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double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double">
        <color indexed="2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double">
        <color indexed="2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32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22" fontId="2" fillId="33" borderId="0" xfId="0" applyNumberFormat="1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4" borderId="0" xfId="0" applyFont="1" applyFill="1" applyBorder="1" applyAlignment="1">
      <alignment/>
    </xf>
    <xf numFmtId="3" fontId="2" fillId="33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0" borderId="0" xfId="0" applyFont="1" applyAlignment="1">
      <alignment/>
    </xf>
    <xf numFmtId="173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167" fontId="2" fillId="33" borderId="11" xfId="0" applyNumberFormat="1" applyFont="1" applyFill="1" applyBorder="1" applyAlignment="1">
      <alignment horizontal="center"/>
    </xf>
    <xf numFmtId="167" fontId="2" fillId="35" borderId="11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5" borderId="11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7" borderId="13" xfId="0" applyFont="1" applyFill="1" applyBorder="1" applyAlignment="1">
      <alignment/>
    </xf>
    <xf numFmtId="0" fontId="2" fillId="38" borderId="13" xfId="0" applyFont="1" applyFill="1" applyBorder="1" applyAlignment="1">
      <alignment/>
    </xf>
    <xf numFmtId="0" fontId="2" fillId="39" borderId="13" xfId="0" applyFont="1" applyFill="1" applyBorder="1" applyAlignment="1">
      <alignment/>
    </xf>
    <xf numFmtId="0" fontId="2" fillId="40" borderId="13" xfId="0" applyFont="1" applyFill="1" applyBorder="1" applyAlignment="1">
      <alignment/>
    </xf>
    <xf numFmtId="0" fontId="2" fillId="41" borderId="13" xfId="0" applyFont="1" applyFill="1" applyBorder="1" applyAlignment="1">
      <alignment/>
    </xf>
    <xf numFmtId="0" fontId="2" fillId="42" borderId="13" xfId="0" applyFont="1" applyFill="1" applyBorder="1" applyAlignment="1">
      <alignment/>
    </xf>
    <xf numFmtId="0" fontId="2" fillId="43" borderId="13" xfId="0" applyFont="1" applyFill="1" applyBorder="1" applyAlignment="1">
      <alignment/>
    </xf>
    <xf numFmtId="0" fontId="2" fillId="44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9" fontId="2" fillId="33" borderId="11" xfId="0" applyNumberFormat="1" applyFont="1" applyFill="1" applyBorder="1" applyAlignment="1">
      <alignment horizontal="right"/>
    </xf>
    <xf numFmtId="49" fontId="2" fillId="33" borderId="14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right"/>
    </xf>
    <xf numFmtId="49" fontId="2" fillId="33" borderId="16" xfId="0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173" fontId="2" fillId="33" borderId="17" xfId="0" applyNumberFormat="1" applyFont="1" applyFill="1" applyBorder="1" applyAlignment="1">
      <alignment vertical="center"/>
    </xf>
    <xf numFmtId="173" fontId="2" fillId="33" borderId="0" xfId="0" applyNumberFormat="1" applyFont="1" applyFill="1" applyBorder="1" applyAlignment="1">
      <alignment vertical="center"/>
    </xf>
    <xf numFmtId="4" fontId="2" fillId="33" borderId="17" xfId="0" applyNumberFormat="1" applyFont="1" applyFill="1" applyBorder="1" applyAlignment="1">
      <alignment vertical="center"/>
    </xf>
    <xf numFmtId="4" fontId="2" fillId="33" borderId="18" xfId="0" applyNumberFormat="1" applyFont="1" applyFill="1" applyBorder="1" applyAlignment="1">
      <alignment vertical="center"/>
    </xf>
    <xf numFmtId="4" fontId="2" fillId="33" borderId="0" xfId="0" applyNumberFormat="1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 vertical="center"/>
    </xf>
    <xf numFmtId="168" fontId="2" fillId="34" borderId="19" xfId="0" applyNumberFormat="1" applyFont="1" applyFill="1" applyBorder="1" applyAlignment="1">
      <alignment vertical="center"/>
    </xf>
    <xf numFmtId="2" fontId="4" fillId="34" borderId="19" xfId="0" applyNumberFormat="1" applyFont="1" applyFill="1" applyBorder="1" applyAlignment="1">
      <alignment horizontal="center" vertical="center"/>
    </xf>
    <xf numFmtId="168" fontId="2" fillId="34" borderId="20" xfId="0" applyNumberFormat="1" applyFont="1" applyFill="1" applyBorder="1" applyAlignment="1">
      <alignment vertical="center"/>
    </xf>
    <xf numFmtId="0" fontId="4" fillId="45" borderId="19" xfId="0" applyFont="1" applyFill="1" applyBorder="1" applyAlignment="1">
      <alignment horizontal="center" vertical="center"/>
    </xf>
    <xf numFmtId="168" fontId="2" fillId="34" borderId="19" xfId="0" applyNumberFormat="1" applyFont="1" applyFill="1" applyBorder="1" applyAlignment="1">
      <alignment horizontal="center" vertical="center"/>
    </xf>
    <xf numFmtId="177" fontId="2" fillId="34" borderId="20" xfId="55" applyNumberFormat="1" applyFont="1" applyFill="1" applyBorder="1" applyAlignment="1">
      <alignment horizontal="right" vertical="center"/>
    </xf>
    <xf numFmtId="177" fontId="2" fillId="34" borderId="21" xfId="55" applyNumberFormat="1" applyFont="1" applyFill="1" applyBorder="1" applyAlignment="1">
      <alignment horizontal="right" vertical="center"/>
    </xf>
    <xf numFmtId="177" fontId="2" fillId="34" borderId="19" xfId="55" applyNumberFormat="1" applyFont="1" applyFill="1" applyBorder="1" applyAlignment="1">
      <alignment horizontal="right" vertical="center"/>
    </xf>
    <xf numFmtId="177" fontId="2" fillId="34" borderId="19" xfId="55" applyNumberFormat="1" applyFont="1" applyFill="1" applyBorder="1" applyAlignment="1">
      <alignment vertical="center"/>
    </xf>
    <xf numFmtId="168" fontId="2" fillId="34" borderId="21" xfId="0" applyNumberFormat="1" applyFont="1" applyFill="1" applyBorder="1" applyAlignment="1">
      <alignment vertical="center"/>
    </xf>
    <xf numFmtId="168" fontId="2" fillId="33" borderId="0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vertical="center"/>
    </xf>
    <xf numFmtId="2" fontId="2" fillId="33" borderId="0" xfId="0" applyNumberFormat="1" applyFont="1" applyFill="1" applyBorder="1" applyAlignment="1">
      <alignment vertical="center"/>
    </xf>
    <xf numFmtId="0" fontId="2" fillId="46" borderId="22" xfId="0" applyFont="1" applyFill="1" applyBorder="1" applyAlignment="1">
      <alignment horizontal="right" vertical="center"/>
    </xf>
    <xf numFmtId="167" fontId="2" fillId="33" borderId="0" xfId="0" applyNumberFormat="1" applyFont="1" applyFill="1" applyBorder="1" applyAlignment="1">
      <alignment vertical="center"/>
    </xf>
    <xf numFmtId="0" fontId="2" fillId="46" borderId="19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46" borderId="23" xfId="0" applyFont="1" applyFill="1" applyBorder="1" applyAlignment="1">
      <alignment horizontal="right" vertical="center"/>
    </xf>
    <xf numFmtId="174" fontId="2" fillId="33" borderId="18" xfId="0" applyNumberFormat="1" applyFont="1" applyFill="1" applyBorder="1" applyAlignment="1">
      <alignment vertical="center"/>
    </xf>
    <xf numFmtId="0" fontId="2" fillId="46" borderId="21" xfId="0" applyFont="1" applyFill="1" applyBorder="1" applyAlignment="1">
      <alignment vertical="center"/>
    </xf>
    <xf numFmtId="0" fontId="2" fillId="47" borderId="19" xfId="0" applyFont="1" applyFill="1" applyBorder="1" applyAlignment="1">
      <alignment vertical="center"/>
    </xf>
    <xf numFmtId="0" fontId="2" fillId="47" borderId="21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47" borderId="20" xfId="0" applyFont="1" applyFill="1" applyBorder="1" applyAlignment="1">
      <alignment vertical="center"/>
    </xf>
    <xf numFmtId="0" fontId="2" fillId="47" borderId="24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Border="1" applyAlignment="1">
      <alignment/>
    </xf>
    <xf numFmtId="0" fontId="2" fillId="48" borderId="19" xfId="0" applyFont="1" applyFill="1" applyBorder="1" applyAlignment="1">
      <alignment vertical="center"/>
    </xf>
    <xf numFmtId="0" fontId="2" fillId="48" borderId="21" xfId="0" applyFont="1" applyFill="1" applyBorder="1" applyAlignment="1">
      <alignment vertical="center"/>
    </xf>
    <xf numFmtId="0" fontId="2" fillId="48" borderId="24" xfId="0" applyFont="1" applyFill="1" applyBorder="1" applyAlignment="1">
      <alignment vertical="center"/>
    </xf>
    <xf numFmtId="0" fontId="4" fillId="0" borderId="0" xfId="0" applyFont="1" applyAlignment="1">
      <alignment/>
    </xf>
    <xf numFmtId="4" fontId="4" fillId="33" borderId="0" xfId="0" applyNumberFormat="1" applyFont="1" applyFill="1" applyBorder="1" applyAlignment="1">
      <alignment/>
    </xf>
    <xf numFmtId="4" fontId="2" fillId="33" borderId="0" xfId="0" applyNumberFormat="1" applyFont="1" applyFill="1" applyAlignment="1">
      <alignment vertical="center"/>
    </xf>
    <xf numFmtId="3" fontId="2" fillId="33" borderId="18" xfId="0" applyNumberFormat="1" applyFont="1" applyFill="1" applyBorder="1" applyAlignment="1">
      <alignment vertical="center"/>
    </xf>
    <xf numFmtId="4" fontId="2" fillId="33" borderId="25" xfId="0" applyNumberFormat="1" applyFont="1" applyFill="1" applyBorder="1" applyAlignment="1">
      <alignment vertical="center"/>
    </xf>
    <xf numFmtId="0" fontId="2" fillId="33" borderId="25" xfId="0" applyFont="1" applyFill="1" applyBorder="1" applyAlignment="1">
      <alignment horizontal="center" vertical="center"/>
    </xf>
    <xf numFmtId="166" fontId="2" fillId="33" borderId="18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173" fontId="2" fillId="33" borderId="18" xfId="0" applyNumberFormat="1" applyFont="1" applyFill="1" applyBorder="1" applyAlignment="1">
      <alignment vertical="center"/>
    </xf>
    <xf numFmtId="0" fontId="2" fillId="34" borderId="21" xfId="0" applyFont="1" applyFill="1" applyBorder="1" applyAlignment="1">
      <alignment/>
    </xf>
    <xf numFmtId="177" fontId="4" fillId="45" borderId="19" xfId="55" applyNumberFormat="1" applyFont="1" applyFill="1" applyBorder="1" applyAlignment="1">
      <alignment horizontal="center" vertical="center"/>
    </xf>
    <xf numFmtId="4" fontId="2" fillId="33" borderId="0" xfId="0" applyNumberFormat="1" applyFont="1" applyFill="1" applyBorder="1" applyAlignment="1">
      <alignment horizontal="center" vertical="center"/>
    </xf>
    <xf numFmtId="4" fontId="2" fillId="33" borderId="1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166" fontId="2" fillId="33" borderId="0" xfId="0" applyNumberFormat="1" applyFont="1" applyFill="1" applyBorder="1" applyAlignment="1">
      <alignment vertical="center"/>
    </xf>
    <xf numFmtId="3" fontId="2" fillId="33" borderId="0" xfId="0" applyNumberFormat="1" applyFont="1" applyFill="1" applyAlignment="1">
      <alignment vertical="center"/>
    </xf>
    <xf numFmtId="0" fontId="2" fillId="46" borderId="26" xfId="0" applyFont="1" applyFill="1" applyBorder="1" applyAlignment="1">
      <alignment horizontal="right" vertical="center"/>
    </xf>
    <xf numFmtId="3" fontId="2" fillId="33" borderId="25" xfId="0" applyNumberFormat="1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2" fontId="2" fillId="33" borderId="25" xfId="0" applyNumberFormat="1" applyFont="1" applyFill="1" applyBorder="1" applyAlignment="1">
      <alignment vertical="center"/>
    </xf>
    <xf numFmtId="2" fontId="2" fillId="33" borderId="0" xfId="0" applyNumberFormat="1" applyFont="1" applyFill="1" applyAlignment="1">
      <alignment vertical="center"/>
    </xf>
    <xf numFmtId="0" fontId="2" fillId="34" borderId="25" xfId="0" applyFont="1" applyFill="1" applyBorder="1" applyAlignment="1">
      <alignment vertical="center"/>
    </xf>
    <xf numFmtId="0" fontId="4" fillId="45" borderId="24" xfId="0" applyFont="1" applyFill="1" applyBorder="1" applyAlignment="1">
      <alignment horizontal="center" vertical="center"/>
    </xf>
    <xf numFmtId="0" fontId="2" fillId="47" borderId="24" xfId="0" applyFont="1" applyFill="1" applyBorder="1" applyAlignment="1">
      <alignment/>
    </xf>
    <xf numFmtId="0" fontId="2" fillId="33" borderId="17" xfId="0" applyFont="1" applyFill="1" applyBorder="1" applyAlignment="1">
      <alignment horizontal="right" vertical="center"/>
    </xf>
    <xf numFmtId="166" fontId="2" fillId="33" borderId="17" xfId="0" applyNumberFormat="1" applyFont="1" applyFill="1" applyBorder="1" applyAlignment="1">
      <alignment vertical="center"/>
    </xf>
    <xf numFmtId="3" fontId="2" fillId="33" borderId="17" xfId="0" applyNumberFormat="1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2" fillId="46" borderId="24" xfId="0" applyFont="1" applyFill="1" applyBorder="1" applyAlignment="1">
      <alignment vertical="center"/>
    </xf>
    <xf numFmtId="173" fontId="2" fillId="33" borderId="25" xfId="0" applyNumberFormat="1" applyFont="1" applyFill="1" applyBorder="1" applyAlignment="1">
      <alignment horizontal="right" vertical="center"/>
    </xf>
    <xf numFmtId="174" fontId="2" fillId="33" borderId="0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 horizontal="right"/>
    </xf>
    <xf numFmtId="4" fontId="10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173" fontId="10" fillId="33" borderId="0" xfId="0" applyNumberFormat="1" applyFont="1" applyFill="1" applyBorder="1" applyAlignment="1">
      <alignment/>
    </xf>
    <xf numFmtId="0" fontId="2" fillId="46" borderId="0" xfId="0" applyFont="1" applyFill="1" applyBorder="1" applyAlignment="1">
      <alignment vertical="center"/>
    </xf>
    <xf numFmtId="0" fontId="2" fillId="46" borderId="27" xfId="0" applyFont="1" applyFill="1" applyBorder="1" applyAlignment="1">
      <alignment vertical="center"/>
    </xf>
    <xf numFmtId="0" fontId="2" fillId="46" borderId="28" xfId="0" applyFont="1" applyFill="1" applyBorder="1" applyAlignment="1">
      <alignment horizontal="right" vertical="center"/>
    </xf>
    <xf numFmtId="0" fontId="2" fillId="46" borderId="17" xfId="0" applyFont="1" applyFill="1" applyBorder="1" applyAlignment="1">
      <alignment vertical="center"/>
    </xf>
    <xf numFmtId="0" fontId="2" fillId="46" borderId="20" xfId="0" applyFont="1" applyFill="1" applyBorder="1" applyAlignment="1">
      <alignment vertical="center"/>
    </xf>
    <xf numFmtId="0" fontId="2" fillId="46" borderId="18" xfId="0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horizontal="right" vertical="center"/>
    </xf>
    <xf numFmtId="174" fontId="2" fillId="33" borderId="0" xfId="0" applyNumberFormat="1" applyFont="1" applyFill="1" applyBorder="1" applyAlignment="1">
      <alignment horizontal="right" vertical="center"/>
    </xf>
    <xf numFmtId="167" fontId="2" fillId="33" borderId="0" xfId="0" applyNumberFormat="1" applyFont="1" applyFill="1" applyBorder="1" applyAlignment="1">
      <alignment horizontal="right" vertical="center"/>
    </xf>
    <xf numFmtId="3" fontId="2" fillId="33" borderId="17" xfId="0" applyNumberFormat="1" applyFont="1" applyFill="1" applyBorder="1" applyAlignment="1">
      <alignment horizontal="right" vertical="center"/>
    </xf>
    <xf numFmtId="2" fontId="2" fillId="33" borderId="0" xfId="0" applyNumberFormat="1" applyFont="1" applyFill="1" applyBorder="1" applyAlignment="1">
      <alignment horizontal="right" vertical="center"/>
    </xf>
    <xf numFmtId="4" fontId="2" fillId="33" borderId="17" xfId="0" applyNumberFormat="1" applyFont="1" applyFill="1" applyBorder="1" applyAlignment="1">
      <alignment horizontal="right" vertical="center"/>
    </xf>
    <xf numFmtId="0" fontId="2" fillId="33" borderId="18" xfId="0" applyFont="1" applyFill="1" applyBorder="1" applyAlignment="1">
      <alignment horizontal="right" vertical="center"/>
    </xf>
    <xf numFmtId="4" fontId="2" fillId="33" borderId="29" xfId="0" applyNumberFormat="1" applyFont="1" applyFill="1" applyBorder="1" applyAlignment="1">
      <alignment vertical="center"/>
    </xf>
    <xf numFmtId="0" fontId="2" fillId="48" borderId="0" xfId="0" applyFont="1" applyFill="1" applyBorder="1" applyAlignment="1">
      <alignment vertical="center"/>
    </xf>
    <xf numFmtId="168" fontId="2" fillId="48" borderId="27" xfId="0" applyNumberFormat="1" applyFont="1" applyFill="1" applyBorder="1" applyAlignment="1">
      <alignment horizontal="right" vertical="center"/>
    </xf>
    <xf numFmtId="2" fontId="2" fillId="48" borderId="19" xfId="0" applyNumberFormat="1" applyFont="1" applyFill="1" applyBorder="1" applyAlignment="1">
      <alignment horizontal="right" vertical="center"/>
    </xf>
    <xf numFmtId="168" fontId="2" fillId="48" borderId="19" xfId="0" applyNumberFormat="1" applyFont="1" applyFill="1" applyBorder="1" applyAlignment="1">
      <alignment horizontal="right" vertical="center"/>
    </xf>
    <xf numFmtId="0" fontId="2" fillId="48" borderId="19" xfId="0" applyFont="1" applyFill="1" applyBorder="1" applyAlignment="1">
      <alignment horizontal="right" vertical="center"/>
    </xf>
    <xf numFmtId="0" fontId="2" fillId="48" borderId="18" xfId="0" applyFont="1" applyFill="1" applyBorder="1" applyAlignment="1">
      <alignment vertical="center"/>
    </xf>
    <xf numFmtId="0" fontId="2" fillId="46" borderId="20" xfId="0" applyFont="1" applyFill="1" applyBorder="1" applyAlignment="1">
      <alignment horizontal="left" vertical="center"/>
    </xf>
    <xf numFmtId="0" fontId="2" fillId="46" borderId="19" xfId="0" applyFont="1" applyFill="1" applyBorder="1" applyAlignment="1">
      <alignment horizontal="left" vertical="center"/>
    </xf>
    <xf numFmtId="0" fontId="4" fillId="45" borderId="0" xfId="0" applyFont="1" applyFill="1" applyAlignment="1">
      <alignment horizontal="center" vertical="center"/>
    </xf>
    <xf numFmtId="0" fontId="2" fillId="48" borderId="30" xfId="0" applyFont="1" applyFill="1" applyBorder="1" applyAlignment="1">
      <alignment vertical="center"/>
    </xf>
    <xf numFmtId="0" fontId="4" fillId="45" borderId="0" xfId="0" applyFont="1" applyFill="1" applyBorder="1" applyAlignment="1">
      <alignment horizontal="center" vertical="center"/>
    </xf>
    <xf numFmtId="0" fontId="2" fillId="48" borderId="20" xfId="0" applyFont="1" applyFill="1" applyBorder="1" applyAlignment="1">
      <alignment horizontal="right" vertical="center"/>
    </xf>
    <xf numFmtId="0" fontId="2" fillId="48" borderId="21" xfId="0" applyFont="1" applyFill="1" applyBorder="1" applyAlignment="1">
      <alignment horizontal="right" vertical="center"/>
    </xf>
    <xf numFmtId="0" fontId="2" fillId="48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2" fillId="48" borderId="25" xfId="0" applyFont="1" applyFill="1" applyBorder="1" applyAlignment="1">
      <alignment vertical="center"/>
    </xf>
    <xf numFmtId="177" fontId="2" fillId="48" borderId="25" xfId="55" applyNumberFormat="1" applyFont="1" applyFill="1" applyBorder="1" applyAlignment="1">
      <alignment vertical="center"/>
    </xf>
    <xf numFmtId="177" fontId="2" fillId="48" borderId="24" xfId="55" applyNumberFormat="1" applyFont="1" applyFill="1" applyBorder="1" applyAlignment="1">
      <alignment horizontal="right" vertical="center"/>
    </xf>
    <xf numFmtId="0" fontId="2" fillId="34" borderId="19" xfId="0" applyFont="1" applyFill="1" applyBorder="1" applyAlignment="1">
      <alignment vertical="center"/>
    </xf>
    <xf numFmtId="0" fontId="2" fillId="34" borderId="21" xfId="0" applyFont="1" applyFill="1" applyBorder="1" applyAlignment="1">
      <alignment vertical="center"/>
    </xf>
    <xf numFmtId="0" fontId="2" fillId="48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19" xfId="0" applyFont="1" applyFill="1" applyBorder="1" applyAlignment="1">
      <alignment horizontal="center" vertical="center"/>
    </xf>
    <xf numFmtId="4" fontId="2" fillId="33" borderId="0" xfId="0" applyNumberFormat="1" applyFont="1" applyFill="1" applyBorder="1" applyAlignment="1">
      <alignment horizontal="right" vertical="center"/>
    </xf>
    <xf numFmtId="4" fontId="2" fillId="33" borderId="18" xfId="0" applyNumberFormat="1" applyFont="1" applyFill="1" applyBorder="1" applyAlignment="1">
      <alignment horizontal="right" vertical="center"/>
    </xf>
    <xf numFmtId="0" fontId="2" fillId="34" borderId="19" xfId="0" applyFont="1" applyFill="1" applyBorder="1" applyAlignment="1">
      <alignment horizontal="right" vertical="center"/>
    </xf>
    <xf numFmtId="0" fontId="2" fillId="34" borderId="0" xfId="0" applyFont="1" applyFill="1" applyAlignment="1">
      <alignment horizontal="left" vertical="center"/>
    </xf>
    <xf numFmtId="4" fontId="2" fillId="33" borderId="31" xfId="0" applyNumberFormat="1" applyFont="1" applyFill="1" applyBorder="1" applyAlignment="1">
      <alignment vertical="center"/>
    </xf>
    <xf numFmtId="0" fontId="2" fillId="34" borderId="32" xfId="0" applyFont="1" applyFill="1" applyBorder="1" applyAlignment="1">
      <alignment horizontal="right" vertical="center"/>
    </xf>
    <xf numFmtId="0" fontId="2" fillId="34" borderId="33" xfId="0" applyFont="1" applyFill="1" applyBorder="1" applyAlignment="1">
      <alignment vertical="center"/>
    </xf>
    <xf numFmtId="0" fontId="2" fillId="34" borderId="34" xfId="0" applyFont="1" applyFill="1" applyBorder="1" applyAlignment="1">
      <alignment vertical="center"/>
    </xf>
    <xf numFmtId="0" fontId="2" fillId="34" borderId="35" xfId="0" applyFont="1" applyFill="1" applyBorder="1" applyAlignment="1">
      <alignment vertical="center"/>
    </xf>
    <xf numFmtId="4" fontId="2" fillId="33" borderId="34" xfId="0" applyNumberFormat="1" applyFont="1" applyFill="1" applyBorder="1" applyAlignment="1">
      <alignment vertical="center"/>
    </xf>
    <xf numFmtId="3" fontId="2" fillId="33" borderId="34" xfId="0" applyNumberFormat="1" applyFont="1" applyFill="1" applyBorder="1" applyAlignment="1">
      <alignment vertical="center"/>
    </xf>
    <xf numFmtId="0" fontId="4" fillId="45" borderId="34" xfId="0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2" fillId="46" borderId="31" xfId="0" applyFont="1" applyFill="1" applyBorder="1" applyAlignment="1">
      <alignment vertical="center"/>
    </xf>
    <xf numFmtId="173" fontId="11" fillId="33" borderId="0" xfId="0" applyNumberFormat="1" applyFont="1" applyFill="1" applyAlignment="1">
      <alignment horizontal="center" vertical="center"/>
    </xf>
    <xf numFmtId="168" fontId="11" fillId="33" borderId="0" xfId="0" applyNumberFormat="1" applyFont="1" applyFill="1" applyAlignment="1">
      <alignment horizontal="center" vertical="center"/>
    </xf>
    <xf numFmtId="4" fontId="11" fillId="33" borderId="0" xfId="0" applyNumberFormat="1" applyFont="1" applyFill="1" applyAlignment="1">
      <alignment horizontal="center" vertical="center"/>
    </xf>
    <xf numFmtId="0" fontId="2" fillId="48" borderId="36" xfId="0" applyFont="1" applyFill="1" applyBorder="1" applyAlignment="1">
      <alignment vertical="center"/>
    </xf>
    <xf numFmtId="0" fontId="2" fillId="48" borderId="33" xfId="0" applyFont="1" applyFill="1" applyBorder="1" applyAlignment="1">
      <alignment vertical="center"/>
    </xf>
    <xf numFmtId="173" fontId="2" fillId="33" borderId="25" xfId="0" applyNumberFormat="1" applyFont="1" applyFill="1" applyBorder="1" applyAlignment="1">
      <alignment vertical="center"/>
    </xf>
    <xf numFmtId="4" fontId="11" fillId="33" borderId="0" xfId="0" applyNumberFormat="1" applyFont="1" applyFill="1" applyAlignment="1">
      <alignment horizontal="left" vertical="center"/>
    </xf>
    <xf numFmtId="4" fontId="11" fillId="33" borderId="0" xfId="0" applyNumberFormat="1" applyFont="1" applyFill="1" applyBorder="1" applyAlignment="1">
      <alignment horizontal="left" vertical="center"/>
    </xf>
    <xf numFmtId="0" fontId="2" fillId="34" borderId="27" xfId="0" applyFont="1" applyFill="1" applyBorder="1" applyAlignment="1">
      <alignment vertical="center"/>
    </xf>
    <xf numFmtId="173" fontId="11" fillId="0" borderId="0" xfId="0" applyNumberFormat="1" applyFont="1" applyFill="1" applyAlignment="1">
      <alignment horizontal="right"/>
    </xf>
    <xf numFmtId="173" fontId="11" fillId="0" borderId="0" xfId="0" applyNumberFormat="1" applyFont="1" applyFill="1" applyAlignment="1">
      <alignment horizontal="center"/>
    </xf>
    <xf numFmtId="4" fontId="11" fillId="33" borderId="0" xfId="0" applyNumberFormat="1" applyFont="1" applyFill="1" applyAlignment="1">
      <alignment horizontal="right" vertical="center"/>
    </xf>
    <xf numFmtId="172" fontId="4" fillId="33" borderId="0" xfId="0" applyNumberFormat="1" applyFont="1" applyFill="1" applyAlignment="1">
      <alignment horizontal="center" vertical="center"/>
    </xf>
    <xf numFmtId="0" fontId="2" fillId="48" borderId="37" xfId="0" applyFont="1" applyFill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3" fillId="46" borderId="38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34" borderId="22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" fillId="34" borderId="28" xfId="0" applyFont="1" applyFill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3" fillId="34" borderId="38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" fillId="48" borderId="38" xfId="0" applyFont="1" applyFill="1" applyBorder="1" applyAlignment="1">
      <alignment horizontal="center" vertical="center"/>
    </xf>
    <xf numFmtId="0" fontId="3" fillId="48" borderId="39" xfId="0" applyFont="1" applyFill="1" applyBorder="1" applyAlignment="1">
      <alignment horizontal="center" vertical="center"/>
    </xf>
    <xf numFmtId="0" fontId="3" fillId="48" borderId="4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34" borderId="18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34" borderId="23" xfId="0" applyFont="1" applyFill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2" fillId="34" borderId="26" xfId="0" applyFont="1" applyFill="1" applyBorder="1" applyAlignment="1">
      <alignment horizontal="right" vertical="center"/>
    </xf>
    <xf numFmtId="0" fontId="0" fillId="34" borderId="25" xfId="0" applyFill="1" applyBorder="1" applyAlignment="1">
      <alignment horizontal="right" vertical="center"/>
    </xf>
    <xf numFmtId="0" fontId="2" fillId="33" borderId="0" xfId="0" applyFont="1" applyFill="1" applyBorder="1" applyAlignment="1">
      <alignment vertical="center"/>
    </xf>
    <xf numFmtId="0" fontId="2" fillId="47" borderId="26" xfId="0" applyFont="1" applyFill="1" applyBorder="1" applyAlignment="1">
      <alignment horizontal="right" vertical="center"/>
    </xf>
    <xf numFmtId="0" fontId="2" fillId="47" borderId="25" xfId="0" applyFont="1" applyFill="1" applyBorder="1" applyAlignment="1">
      <alignment horizontal="right" vertical="center"/>
    </xf>
    <xf numFmtId="0" fontId="2" fillId="47" borderId="28" xfId="0" applyFont="1" applyFill="1" applyBorder="1" applyAlignment="1">
      <alignment horizontal="right" vertical="center"/>
    </xf>
    <xf numFmtId="0" fontId="0" fillId="47" borderId="17" xfId="0" applyFill="1" applyBorder="1" applyAlignment="1">
      <alignment horizontal="right" vertical="center"/>
    </xf>
    <xf numFmtId="0" fontId="2" fillId="47" borderId="22" xfId="0" applyFont="1" applyFill="1" applyBorder="1" applyAlignment="1">
      <alignment horizontal="right" vertical="center"/>
    </xf>
    <xf numFmtId="0" fontId="0" fillId="47" borderId="0" xfId="0" applyFill="1" applyAlignment="1">
      <alignment horizontal="right" vertical="center"/>
    </xf>
    <xf numFmtId="0" fontId="2" fillId="47" borderId="23" xfId="0" applyFont="1" applyFill="1" applyBorder="1" applyAlignment="1">
      <alignment horizontal="right" vertical="center"/>
    </xf>
    <xf numFmtId="0" fontId="0" fillId="47" borderId="18" xfId="0" applyFill="1" applyBorder="1" applyAlignment="1">
      <alignment horizontal="right" vertical="center"/>
    </xf>
    <xf numFmtId="0" fontId="3" fillId="47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47" borderId="44" xfId="0" applyFont="1" applyFill="1" applyBorder="1" applyAlignment="1">
      <alignment horizontal="right" vertical="center"/>
    </xf>
    <xf numFmtId="0" fontId="0" fillId="47" borderId="45" xfId="0" applyFill="1" applyBorder="1" applyAlignment="1">
      <alignment horizontal="right" vertical="center"/>
    </xf>
    <xf numFmtId="0" fontId="2" fillId="47" borderId="46" xfId="0" applyFont="1" applyFill="1" applyBorder="1" applyAlignment="1">
      <alignment horizontal="right" vertical="center"/>
    </xf>
    <xf numFmtId="0" fontId="2" fillId="47" borderId="47" xfId="0" applyFont="1" applyFill="1" applyBorder="1" applyAlignment="1">
      <alignment horizontal="right" vertical="center"/>
    </xf>
    <xf numFmtId="0" fontId="2" fillId="47" borderId="17" xfId="0" applyFont="1" applyFill="1" applyBorder="1" applyAlignment="1">
      <alignment horizontal="right" vertical="center"/>
    </xf>
    <xf numFmtId="0" fontId="2" fillId="48" borderId="26" xfId="0" applyFont="1" applyFill="1" applyBorder="1" applyAlignment="1">
      <alignment horizontal="right" vertical="center"/>
    </xf>
    <xf numFmtId="0" fontId="2" fillId="48" borderId="25" xfId="0" applyFont="1" applyFill="1" applyBorder="1" applyAlignment="1">
      <alignment horizontal="right" vertical="center"/>
    </xf>
    <xf numFmtId="0" fontId="2" fillId="48" borderId="28" xfId="0" applyFont="1" applyFill="1" applyBorder="1" applyAlignment="1">
      <alignment horizontal="right" vertical="center"/>
    </xf>
    <xf numFmtId="0" fontId="2" fillId="48" borderId="17" xfId="0" applyFont="1" applyFill="1" applyBorder="1" applyAlignment="1">
      <alignment horizontal="right" vertical="center"/>
    </xf>
    <xf numFmtId="0" fontId="2" fillId="48" borderId="23" xfId="0" applyFont="1" applyFill="1" applyBorder="1" applyAlignment="1">
      <alignment horizontal="right" vertical="center"/>
    </xf>
    <xf numFmtId="0" fontId="2" fillId="48" borderId="18" xfId="0" applyFont="1" applyFill="1" applyBorder="1" applyAlignment="1">
      <alignment horizontal="right" vertical="center"/>
    </xf>
    <xf numFmtId="0" fontId="2" fillId="47" borderId="18" xfId="0" applyFont="1" applyFill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2" fillId="48" borderId="48" xfId="0" applyFont="1" applyFill="1" applyBorder="1" applyAlignment="1">
      <alignment horizontal="right" vertical="center"/>
    </xf>
    <xf numFmtId="0" fontId="2" fillId="48" borderId="30" xfId="0" applyFont="1" applyFill="1" applyBorder="1" applyAlignment="1">
      <alignment horizontal="right" vertical="center"/>
    </xf>
    <xf numFmtId="0" fontId="2" fillId="48" borderId="46" xfId="0" applyFont="1" applyFill="1" applyBorder="1" applyAlignment="1">
      <alignment horizontal="right" vertical="center"/>
    </xf>
    <xf numFmtId="0" fontId="2" fillId="48" borderId="0" xfId="0" applyFont="1" applyFill="1" applyBorder="1" applyAlignment="1">
      <alignment horizontal="right" vertical="center"/>
    </xf>
    <xf numFmtId="0" fontId="2" fillId="48" borderId="47" xfId="0" applyFont="1" applyFill="1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33" borderId="17" xfId="0" applyFont="1" applyFill="1" applyBorder="1" applyAlignment="1">
      <alignment horizontal="right" vertical="center"/>
    </xf>
    <xf numFmtId="0" fontId="2" fillId="47" borderId="0" xfId="0" applyFont="1" applyFill="1" applyBorder="1" applyAlignment="1">
      <alignment horizontal="right" vertical="center"/>
    </xf>
    <xf numFmtId="0" fontId="2" fillId="47" borderId="49" xfId="0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2" fillId="47" borderId="50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right" vertical="center"/>
    </xf>
    <xf numFmtId="0" fontId="2" fillId="48" borderId="22" xfId="0" applyFont="1" applyFill="1" applyBorder="1" applyAlignment="1">
      <alignment horizontal="right" vertical="center"/>
    </xf>
    <xf numFmtId="0" fontId="2" fillId="48" borderId="51" xfId="0" applyFont="1" applyFill="1" applyBorder="1" applyAlignment="1">
      <alignment horizontal="right" vertical="center"/>
    </xf>
    <xf numFmtId="0" fontId="2" fillId="34" borderId="17" xfId="0" applyFont="1" applyFill="1" applyBorder="1" applyAlignment="1">
      <alignment horizontal="left" vertical="center"/>
    </xf>
    <xf numFmtId="0" fontId="2" fillId="34" borderId="46" xfId="0" applyFont="1" applyFill="1" applyBorder="1" applyAlignment="1">
      <alignment horizontal="right" vertical="center"/>
    </xf>
    <xf numFmtId="0" fontId="2" fillId="34" borderId="18" xfId="0" applyFont="1" applyFill="1" applyBorder="1" applyAlignment="1">
      <alignment horizontal="right" vertical="center"/>
    </xf>
    <xf numFmtId="0" fontId="2" fillId="34" borderId="17" xfId="0" applyFont="1" applyFill="1" applyBorder="1" applyAlignment="1">
      <alignment horizontal="right" vertical="center"/>
    </xf>
    <xf numFmtId="0" fontId="2" fillId="34" borderId="30" xfId="0" applyFont="1" applyFill="1" applyBorder="1" applyAlignment="1">
      <alignment vertical="center"/>
    </xf>
    <xf numFmtId="0" fontId="2" fillId="48" borderId="17" xfId="0" applyFont="1" applyFill="1" applyBorder="1" applyAlignment="1">
      <alignment horizontal="left" vertical="center"/>
    </xf>
    <xf numFmtId="0" fontId="2" fillId="48" borderId="18" xfId="0" applyFont="1" applyFill="1" applyBorder="1" applyAlignment="1">
      <alignment horizontal="left" vertical="center"/>
    </xf>
    <xf numFmtId="0" fontId="2" fillId="48" borderId="17" xfId="0" applyFont="1" applyFill="1" applyBorder="1" applyAlignment="1">
      <alignment vertical="center"/>
    </xf>
    <xf numFmtId="0" fontId="2" fillId="48" borderId="18" xfId="0" applyFont="1" applyFill="1" applyBorder="1" applyAlignment="1">
      <alignment vertical="center"/>
    </xf>
    <xf numFmtId="2" fontId="11" fillId="46" borderId="0" xfId="0" applyNumberFormat="1" applyFont="1" applyFill="1" applyBorder="1" applyAlignment="1">
      <alignment horizontal="right" vertical="center"/>
    </xf>
    <xf numFmtId="2" fontId="12" fillId="0" borderId="19" xfId="0" applyNumberFormat="1" applyFont="1" applyBorder="1" applyAlignment="1">
      <alignment horizontal="right" vertical="center"/>
    </xf>
    <xf numFmtId="0" fontId="2" fillId="34" borderId="52" xfId="0" applyFont="1" applyFill="1" applyBorder="1" applyAlignment="1">
      <alignment horizontal="right" vertical="center"/>
    </xf>
    <xf numFmtId="0" fontId="2" fillId="34" borderId="31" xfId="0" applyFont="1" applyFill="1" applyBorder="1" applyAlignment="1">
      <alignment horizontal="right" vertical="center"/>
    </xf>
    <xf numFmtId="0" fontId="3" fillId="46" borderId="38" xfId="0" applyFont="1" applyFill="1" applyBorder="1" applyAlignment="1">
      <alignment horizontal="center" vertical="center"/>
    </xf>
    <xf numFmtId="0" fontId="2" fillId="46" borderId="39" xfId="0" applyFont="1" applyFill="1" applyBorder="1" applyAlignment="1">
      <alignment vertical="center"/>
    </xf>
    <xf numFmtId="0" fontId="2" fillId="46" borderId="40" xfId="0" applyFont="1" applyFill="1" applyBorder="1" applyAlignment="1">
      <alignment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right" vertical="center"/>
    </xf>
    <xf numFmtId="0" fontId="2" fillId="34" borderId="30" xfId="0" applyFont="1" applyFill="1" applyBorder="1" applyAlignment="1">
      <alignment horizontal="right" vertical="center"/>
    </xf>
    <xf numFmtId="0" fontId="2" fillId="34" borderId="49" xfId="0" applyFont="1" applyFill="1" applyBorder="1" applyAlignment="1">
      <alignment horizontal="right" vertical="center"/>
    </xf>
    <xf numFmtId="0" fontId="2" fillId="34" borderId="47" xfId="0" applyFont="1" applyFill="1" applyBorder="1" applyAlignment="1">
      <alignment horizontal="right" vertical="center"/>
    </xf>
    <xf numFmtId="0" fontId="0" fillId="34" borderId="18" xfId="0" applyFill="1" applyBorder="1" applyAlignment="1">
      <alignment horizontal="right" vertical="center"/>
    </xf>
    <xf numFmtId="0" fontId="2" fillId="34" borderId="25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2" fillId="34" borderId="25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48" borderId="34" xfId="0" applyFont="1" applyFill="1" applyBorder="1" applyAlignment="1">
      <alignment horizontal="center" vertical="center"/>
    </xf>
    <xf numFmtId="0" fontId="2" fillId="48" borderId="35" xfId="0" applyFont="1" applyFill="1" applyBorder="1" applyAlignment="1">
      <alignment horizontal="center" vertical="center"/>
    </xf>
    <xf numFmtId="22" fontId="2" fillId="33" borderId="0" xfId="0" applyNumberFormat="1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right" vertical="center"/>
    </xf>
    <xf numFmtId="0" fontId="2" fillId="34" borderId="34" xfId="0" applyFont="1" applyFill="1" applyBorder="1" applyAlignment="1">
      <alignment horizontal="right" vertical="center"/>
    </xf>
    <xf numFmtId="0" fontId="3" fillId="48" borderId="41" xfId="0" applyFont="1" applyFill="1" applyBorder="1" applyAlignment="1">
      <alignment horizontal="center" vertical="center"/>
    </xf>
    <xf numFmtId="0" fontId="3" fillId="48" borderId="42" xfId="0" applyFont="1" applyFill="1" applyBorder="1" applyAlignment="1">
      <alignment horizontal="center" vertical="center"/>
    </xf>
    <xf numFmtId="0" fontId="3" fillId="48" borderId="43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left" vertical="center"/>
    </xf>
    <xf numFmtId="0" fontId="2" fillId="34" borderId="31" xfId="0" applyFont="1" applyFill="1" applyBorder="1" applyAlignment="1">
      <alignment horizontal="left" vertical="center"/>
    </xf>
    <xf numFmtId="4" fontId="4" fillId="45" borderId="34" xfId="0" applyNumberFormat="1" applyFont="1" applyFill="1" applyBorder="1" applyAlignment="1">
      <alignment horizontal="center" vertical="center"/>
    </xf>
    <xf numFmtId="4" fontId="13" fillId="45" borderId="35" xfId="0" applyNumberFormat="1" applyFont="1" applyFill="1" applyBorder="1" applyAlignment="1">
      <alignment horizontal="center" vertical="center"/>
    </xf>
    <xf numFmtId="0" fontId="2" fillId="48" borderId="44" xfId="0" applyFont="1" applyFill="1" applyBorder="1" applyAlignment="1">
      <alignment horizontal="right" vertical="center"/>
    </xf>
    <xf numFmtId="0" fontId="2" fillId="48" borderId="45" xfId="0" applyFont="1" applyFill="1" applyBorder="1" applyAlignment="1">
      <alignment horizontal="right" vertical="center"/>
    </xf>
    <xf numFmtId="3" fontId="11" fillId="33" borderId="0" xfId="0" applyNumberFormat="1" applyFon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8" fontId="11" fillId="3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8" borderId="18" xfId="0" applyFill="1" applyBorder="1" applyAlignment="1">
      <alignment horizontal="right" vertical="center"/>
    </xf>
    <xf numFmtId="0" fontId="2" fillId="48" borderId="34" xfId="0" applyFont="1" applyFill="1" applyBorder="1" applyAlignment="1">
      <alignment vertical="center"/>
    </xf>
    <xf numFmtId="0" fontId="2" fillId="48" borderId="35" xfId="0" applyFont="1" applyFill="1" applyBorder="1" applyAlignment="1">
      <alignment vertical="center"/>
    </xf>
    <xf numFmtId="0" fontId="2" fillId="34" borderId="48" xfId="0" applyFont="1" applyFill="1" applyBorder="1" applyAlignment="1">
      <alignment horizontal="right" vertical="center"/>
    </xf>
    <xf numFmtId="0" fontId="2" fillId="34" borderId="25" xfId="0" applyFont="1" applyFill="1" applyBorder="1" applyAlignment="1">
      <alignment horizontal="right" vertical="center"/>
    </xf>
    <xf numFmtId="0" fontId="2" fillId="34" borderId="54" xfId="0" applyFont="1" applyFill="1" applyBorder="1" applyAlignment="1">
      <alignment horizontal="center"/>
    </xf>
    <xf numFmtId="0" fontId="2" fillId="34" borderId="55" xfId="0" applyFont="1" applyFill="1" applyBorder="1" applyAlignment="1">
      <alignment horizontal="center"/>
    </xf>
    <xf numFmtId="0" fontId="2" fillId="34" borderId="56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57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4" fontId="3" fillId="34" borderId="12" xfId="45" applyFont="1" applyFill="1" applyBorder="1" applyAlignment="1">
      <alignment horizontal="center"/>
    </xf>
    <xf numFmtId="0" fontId="2" fillId="34" borderId="58" xfId="0" applyFont="1" applyFill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3" fillId="34" borderId="6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R E S P U E S T A   T E M P O R A L             </a:t>
            </a:r>
            <a:r>
              <a:rPr lang="en-US" cap="none" sz="800" b="0" i="0" u="none" baseline="0">
                <a:solidFill>
                  <a:srgbClr val="3366FF"/>
                </a:solidFill>
              </a:rPr>
              <a:t> </a:t>
            </a:r>
            <a:r>
              <a:rPr lang="en-US" cap="none" sz="800" b="1" i="0" u="none" baseline="0">
                <a:solidFill>
                  <a:srgbClr val="3366FF"/>
                </a:solidFill>
              </a:rPr>
              <a:t>VIn (</a:t>
            </a:r>
            <a:r>
              <a:rPr lang="en-US" cap="none" sz="800" b="1" i="0" u="none" baseline="0">
                <a:solidFill>
                  <a:srgbClr val="3366FF"/>
                </a:solidFill>
              </a:rPr>
              <a:t>□</a:t>
            </a:r>
            <a:r>
              <a:rPr lang="en-US" cap="none" sz="800" b="1" i="0" u="none" baseline="0">
                <a:solidFill>
                  <a:srgbClr val="3366FF"/>
                </a:solidFill>
              </a:rPr>
              <a:t>)   VOu</a:t>
            </a:r>
            <a:r>
              <a:rPr lang="en-US" cap="none" sz="800" b="1" i="0" u="none" baseline="0">
                <a:solidFill>
                  <a:srgbClr val="FF0000"/>
                </a:solidFill>
              </a:rPr>
              <a:t>t (x)</a:t>
            </a:r>
          </a:p>
        </c:rich>
      </c:tx>
      <c:layout>
        <c:manualLayout>
          <c:xMode val="factor"/>
          <c:yMode val="factor"/>
          <c:x val="-0.01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8325"/>
          <c:w val="0.9765"/>
          <c:h val="0.91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solidFill>
                  <a:srgbClr val="3366FF"/>
                </a:solidFill>
              </a:ln>
            </c:spPr>
          </c:marker>
          <c:val>
            <c:numRef>
              <c:f>'Pol. de emisor c.a.'!$G$42:$G$66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'Pol. de emisor c.a.'!$H$42:$H$66</c:f>
              <c:numCache/>
            </c:numRef>
          </c:val>
          <c:smooth val="1"/>
        </c:ser>
        <c:marker val="1"/>
        <c:axId val="14427887"/>
        <c:axId val="62742120"/>
      </c:lineChart>
      <c:catAx>
        <c:axId val="1442788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1"/>
        <c:majorTickMark val="out"/>
        <c:minorTickMark val="none"/>
        <c:tickLblPos val="nextTo"/>
        <c:crossAx val="62742120"/>
        <c:crosses val="autoZero"/>
        <c:auto val="1"/>
        <c:lblOffset val="100"/>
        <c:tickLblSkip val="1"/>
        <c:noMultiLvlLbl val="0"/>
      </c:catAx>
      <c:valAx>
        <c:axId val="6274212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278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R E S P U E S T A   T E M P O R A L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                   VIn     </a:t>
            </a:r>
            <a:r>
              <a:rPr lang="en-US" cap="none" sz="800" b="1" i="0" u="none" baseline="0">
                <a:solidFill>
                  <a:srgbClr val="33CCCC"/>
                </a:solidFill>
              </a:rPr>
              <a:t>VOut 1ª (</a:t>
            </a:r>
            <a:r>
              <a:rPr lang="en-US" cap="none" sz="800" b="1" i="0" u="none" baseline="0">
                <a:solidFill>
                  <a:srgbClr val="33CCCC"/>
                </a:solidFill>
              </a:rPr>
              <a:t>□</a:t>
            </a:r>
            <a:r>
              <a:rPr lang="en-US" cap="none" sz="800" b="1" i="0" u="none" baseline="0">
                <a:solidFill>
                  <a:srgbClr val="33CCCC"/>
                </a:solidFill>
              </a:rPr>
              <a:t>)     VOut </a:t>
            </a:r>
            <a:r>
              <a:rPr lang="en-US" cap="none" sz="800" b="1" i="0" u="none" baseline="0">
                <a:solidFill>
                  <a:srgbClr val="FF0000"/>
                </a:solidFill>
              </a:rPr>
              <a:t>2ª (x)</a:t>
            </a:r>
          </a:p>
        </c:rich>
      </c:tx>
      <c:layout>
        <c:manualLayout>
          <c:xMode val="factor"/>
          <c:yMode val="factor"/>
          <c:x val="0.011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0.98075"/>
          <c:h val="0.91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'Amplificador multietapa'!$Q$1:$Q$25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'Amplificador multietapa'!$R$1:$R$25</c:f>
              <c:numCache/>
            </c:numRef>
          </c:val>
          <c:smooth val="1"/>
        </c:ser>
        <c:ser>
          <c:idx val="2"/>
          <c:order val="2"/>
          <c:spPr>
            <a:ln w="3175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'Amplificador multietapa'!$S$1:$S$25</c:f>
              <c:numCache/>
            </c:numRef>
          </c:val>
          <c:smooth val="1"/>
        </c:ser>
        <c:marker val="1"/>
        <c:axId val="27808169"/>
        <c:axId val="48946930"/>
      </c:lineChart>
      <c:catAx>
        <c:axId val="2780816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48946930"/>
        <c:crosses val="autoZero"/>
        <c:auto val="1"/>
        <c:lblOffset val="100"/>
        <c:tickLblSkip val="1"/>
        <c:noMultiLvlLbl val="0"/>
      </c:catAx>
      <c:valAx>
        <c:axId val="489469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0816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7.emf" /><Relationship Id="rId5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9.emf" /><Relationship Id="rId3" Type="http://schemas.openxmlformats.org/officeDocument/2006/relationships/image" Target="../media/image2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chart" Target="/xl/charts/chart2.xml" /><Relationship Id="rId3" Type="http://schemas.openxmlformats.org/officeDocument/2006/relationships/image" Target="../media/image25.emf" /><Relationship Id="rId4" Type="http://schemas.openxmlformats.org/officeDocument/2006/relationships/image" Target="../media/image2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0.emf" /><Relationship Id="rId3" Type="http://schemas.openxmlformats.org/officeDocument/2006/relationships/image" Target="../media/image12.emf" /><Relationship Id="rId4" Type="http://schemas.openxmlformats.org/officeDocument/2006/relationships/image" Target="../media/image13.emf" /><Relationship Id="rId5" Type="http://schemas.openxmlformats.org/officeDocument/2006/relationships/image" Target="../media/image11.emf" /><Relationship Id="rId6" Type="http://schemas.openxmlformats.org/officeDocument/2006/relationships/image" Target="../media/image14.emf" /><Relationship Id="rId7" Type="http://schemas.openxmlformats.org/officeDocument/2006/relationships/image" Target="../media/image15.emf" /><Relationship Id="rId8" Type="http://schemas.openxmlformats.org/officeDocument/2006/relationships/image" Target="../media/image16.emf" /><Relationship Id="rId9" Type="http://schemas.openxmlformats.org/officeDocument/2006/relationships/image" Target="../media/image17.emf" /><Relationship Id="rId10" Type="http://schemas.openxmlformats.org/officeDocument/2006/relationships/image" Target="../media/image18.emf" /><Relationship Id="rId11" Type="http://schemas.openxmlformats.org/officeDocument/2006/relationships/image" Target="../media/image17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3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26.emf" /><Relationship Id="rId3" Type="http://schemas.openxmlformats.org/officeDocument/2006/relationships/image" Target="../media/image21.emf" /><Relationship Id="rId4" Type="http://schemas.openxmlformats.org/officeDocument/2006/relationships/image" Target="../media/image20.emf" /><Relationship Id="rId5" Type="http://schemas.openxmlformats.org/officeDocument/2006/relationships/image" Target="../media/image2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2.emf" /><Relationship Id="rId3" Type="http://schemas.openxmlformats.org/officeDocument/2006/relationships/image" Target="../media/image33.emf" /><Relationship Id="rId4" Type="http://schemas.openxmlformats.org/officeDocument/2006/relationships/image" Target="../media/image34.emf" /><Relationship Id="rId5" Type="http://schemas.openxmlformats.org/officeDocument/2006/relationships/image" Target="../media/image28.emf" /><Relationship Id="rId6" Type="http://schemas.openxmlformats.org/officeDocument/2006/relationships/image" Target="../media/image10.emf" /><Relationship Id="rId7" Type="http://schemas.openxmlformats.org/officeDocument/2006/relationships/image" Target="../media/image3.emf" /><Relationship Id="rId8" Type="http://schemas.openxmlformats.org/officeDocument/2006/relationships/image" Target="../media/image6.emf" /><Relationship Id="rId9" Type="http://schemas.openxmlformats.org/officeDocument/2006/relationships/image" Target="../media/image29.emf" /><Relationship Id="rId10" Type="http://schemas.openxmlformats.org/officeDocument/2006/relationships/image" Target="../media/image14.emf" /><Relationship Id="rId11" Type="http://schemas.openxmlformats.org/officeDocument/2006/relationships/image" Target="../media/image15.emf" /><Relationship Id="rId12" Type="http://schemas.openxmlformats.org/officeDocument/2006/relationships/image" Target="../media/image16.emf" /><Relationship Id="rId13" Type="http://schemas.openxmlformats.org/officeDocument/2006/relationships/image" Target="../media/image31.emf" /><Relationship Id="rId14" Type="http://schemas.openxmlformats.org/officeDocument/2006/relationships/image" Target="../media/image21.emf" /><Relationship Id="rId15" Type="http://schemas.openxmlformats.org/officeDocument/2006/relationships/image" Target="../media/image30.emf" /><Relationship Id="rId16" Type="http://schemas.openxmlformats.org/officeDocument/2006/relationships/image" Target="../media/image3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619125</xdr:colOff>
      <xdr:row>0</xdr:row>
      <xdr:rowOff>114300</xdr:rowOff>
    </xdr:from>
    <xdr:to>
      <xdr:col>7</xdr:col>
      <xdr:colOff>762000</xdr:colOff>
      <xdr:row>13</xdr:row>
      <xdr:rowOff>57150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114300"/>
          <a:ext cx="16954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0</xdr:row>
      <xdr:rowOff>38100</xdr:rowOff>
    </xdr:from>
    <xdr:to>
      <xdr:col>15</xdr:col>
      <xdr:colOff>381000</xdr:colOff>
      <xdr:row>8</xdr:row>
      <xdr:rowOff>142875</xdr:rowOff>
    </xdr:to>
    <xdr:pic>
      <xdr:nvPicPr>
        <xdr:cNvPr id="2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34475" y="38100"/>
          <a:ext cx="36480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22</xdr:row>
      <xdr:rowOff>142875</xdr:rowOff>
    </xdr:from>
    <xdr:to>
      <xdr:col>16</xdr:col>
      <xdr:colOff>28575</xdr:colOff>
      <xdr:row>30</xdr:row>
      <xdr:rowOff>123825</xdr:rowOff>
    </xdr:to>
    <xdr:pic>
      <xdr:nvPicPr>
        <xdr:cNvPr id="3" name="Picture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34475" y="3705225"/>
          <a:ext cx="39243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9525</xdr:rowOff>
    </xdr:from>
    <xdr:to>
      <xdr:col>3</xdr:col>
      <xdr:colOff>133350</xdr:colOff>
      <xdr:row>12</xdr:row>
      <xdr:rowOff>142875</xdr:rowOff>
    </xdr:to>
    <xdr:pic>
      <xdr:nvPicPr>
        <xdr:cNvPr id="4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171450"/>
          <a:ext cx="33813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41</xdr:row>
      <xdr:rowOff>47625</xdr:rowOff>
    </xdr:from>
    <xdr:to>
      <xdr:col>5</xdr:col>
      <xdr:colOff>419100</xdr:colOff>
      <xdr:row>62</xdr:row>
      <xdr:rowOff>47625</xdr:rowOff>
    </xdr:to>
    <xdr:graphicFrame>
      <xdr:nvGraphicFramePr>
        <xdr:cNvPr id="5" name="Gráfico 39"/>
        <xdr:cNvGraphicFramePr/>
      </xdr:nvGraphicFramePr>
      <xdr:xfrm>
        <a:off x="66675" y="6686550"/>
        <a:ext cx="5381625" cy="3400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533400</xdr:colOff>
      <xdr:row>0</xdr:row>
      <xdr:rowOff>76200</xdr:rowOff>
    </xdr:from>
    <xdr:to>
      <xdr:col>7</xdr:col>
      <xdr:colOff>971550</xdr:colOff>
      <xdr:row>13</xdr:row>
      <xdr:rowOff>95250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76200"/>
          <a:ext cx="190500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809625</xdr:colOff>
      <xdr:row>0</xdr:row>
      <xdr:rowOff>38100</xdr:rowOff>
    </xdr:from>
    <xdr:to>
      <xdr:col>16</xdr:col>
      <xdr:colOff>95250</xdr:colOff>
      <xdr:row>13</xdr:row>
      <xdr:rowOff>104775</xdr:rowOff>
    </xdr:to>
    <xdr:pic>
      <xdr:nvPicPr>
        <xdr:cNvPr id="2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0800" y="38100"/>
          <a:ext cx="255270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76200</xdr:rowOff>
    </xdr:from>
    <xdr:to>
      <xdr:col>2</xdr:col>
      <xdr:colOff>38100</xdr:colOff>
      <xdr:row>13</xdr:row>
      <xdr:rowOff>95250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76200"/>
          <a:ext cx="296227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85725</xdr:colOff>
      <xdr:row>57</xdr:row>
      <xdr:rowOff>38100</xdr:rowOff>
    </xdr:from>
    <xdr:to>
      <xdr:col>20</xdr:col>
      <xdr:colOff>400050</xdr:colOff>
      <xdr:row>71</xdr:row>
      <xdr:rowOff>104775</xdr:rowOff>
    </xdr:to>
    <xdr:sp>
      <xdr:nvSpPr>
        <xdr:cNvPr id="1" name="AutoShape 63"/>
        <xdr:cNvSpPr>
          <a:spLocks/>
        </xdr:cNvSpPr>
      </xdr:nvSpPr>
      <xdr:spPr>
        <a:xfrm>
          <a:off x="9591675" y="9267825"/>
          <a:ext cx="4133850" cy="23336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41</xdr:row>
      <xdr:rowOff>47625</xdr:rowOff>
    </xdr:from>
    <xdr:to>
      <xdr:col>20</xdr:col>
      <xdr:colOff>371475</xdr:colOff>
      <xdr:row>55</xdr:row>
      <xdr:rowOff>28575</xdr:rowOff>
    </xdr:to>
    <xdr:sp>
      <xdr:nvSpPr>
        <xdr:cNvPr id="2" name="AutoShape 64"/>
        <xdr:cNvSpPr>
          <a:spLocks/>
        </xdr:cNvSpPr>
      </xdr:nvSpPr>
      <xdr:spPr>
        <a:xfrm>
          <a:off x="9563100" y="6686550"/>
          <a:ext cx="4133850" cy="22479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76200</xdr:rowOff>
    </xdr:from>
    <xdr:to>
      <xdr:col>7</xdr:col>
      <xdr:colOff>304800</xdr:colOff>
      <xdr:row>16</xdr:row>
      <xdr:rowOff>76200</xdr:rowOff>
    </xdr:to>
    <xdr:pic>
      <xdr:nvPicPr>
        <xdr:cNvPr id="3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4448175" cy="2590800"/>
        </a:xfrm>
        <a:prstGeom prst="rect">
          <a:avLst/>
        </a:prstGeom>
        <a:noFill/>
        <a:ln w="3175" cmpd="sng">
          <a:noFill/>
        </a:ln>
      </xdr:spPr>
    </xdr:pic>
    <xdr:clientData/>
  </xdr:twoCellAnchor>
  <xdr:twoCellAnchor>
    <xdr:from>
      <xdr:col>0</xdr:col>
      <xdr:colOff>57150</xdr:colOff>
      <xdr:row>63</xdr:row>
      <xdr:rowOff>47625</xdr:rowOff>
    </xdr:from>
    <xdr:to>
      <xdr:col>8</xdr:col>
      <xdr:colOff>190500</xdr:colOff>
      <xdr:row>81</xdr:row>
      <xdr:rowOff>114300</xdr:rowOff>
    </xdr:to>
    <xdr:graphicFrame>
      <xdr:nvGraphicFramePr>
        <xdr:cNvPr id="4" name="Gráfico 62"/>
        <xdr:cNvGraphicFramePr/>
      </xdr:nvGraphicFramePr>
      <xdr:xfrm>
        <a:off x="57150" y="10248900"/>
        <a:ext cx="5019675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19</xdr:col>
      <xdr:colOff>361950</xdr:colOff>
      <xdr:row>53</xdr:row>
      <xdr:rowOff>95250</xdr:rowOff>
    </xdr:from>
    <xdr:ext cx="514350" cy="219075"/>
    <xdr:sp>
      <xdr:nvSpPr>
        <xdr:cNvPr id="5" name="Text Box 65"/>
        <xdr:cNvSpPr txBox="1">
          <a:spLocks noChangeArrowheads="1"/>
        </xdr:cNvSpPr>
      </xdr:nvSpPr>
      <xdr:spPr>
        <a:xfrm>
          <a:off x="12925425" y="8677275"/>
          <a:ext cx="514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3366FF"/>
              </a:solidFill>
            </a:rPr>
            <a:t>1ª Etapa</a:t>
          </a:r>
        </a:p>
      </xdr:txBody>
    </xdr:sp>
    <xdr:clientData/>
  </xdr:oneCellAnchor>
  <xdr:oneCellAnchor>
    <xdr:from>
      <xdr:col>19</xdr:col>
      <xdr:colOff>438150</xdr:colOff>
      <xdr:row>70</xdr:row>
      <xdr:rowOff>19050</xdr:rowOff>
    </xdr:from>
    <xdr:ext cx="514350" cy="219075"/>
    <xdr:sp>
      <xdr:nvSpPr>
        <xdr:cNvPr id="6" name="Text Box 66"/>
        <xdr:cNvSpPr txBox="1">
          <a:spLocks noChangeArrowheads="1"/>
        </xdr:cNvSpPr>
      </xdr:nvSpPr>
      <xdr:spPr>
        <a:xfrm>
          <a:off x="13001625" y="11353800"/>
          <a:ext cx="514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3366FF"/>
              </a:solidFill>
            </a:rPr>
            <a:t>2ª Etapa</a:t>
          </a:r>
        </a:p>
      </xdr:txBody>
    </xdr:sp>
    <xdr:clientData/>
  </xdr:oneCellAnchor>
  <xdr:twoCellAnchor editAs="oneCell">
    <xdr:from>
      <xdr:col>8</xdr:col>
      <xdr:colOff>19050</xdr:colOff>
      <xdr:row>0</xdr:row>
      <xdr:rowOff>47625</xdr:rowOff>
    </xdr:from>
    <xdr:to>
      <xdr:col>13</xdr:col>
      <xdr:colOff>19050</xdr:colOff>
      <xdr:row>13</xdr:row>
      <xdr:rowOff>114300</xdr:rowOff>
    </xdr:to>
    <xdr:pic>
      <xdr:nvPicPr>
        <xdr:cNvPr id="7" name="Picture 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05375" y="47625"/>
          <a:ext cx="308610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41</xdr:row>
      <xdr:rowOff>28575</xdr:rowOff>
    </xdr:from>
    <xdr:to>
      <xdr:col>6</xdr:col>
      <xdr:colOff>409575</xdr:colOff>
      <xdr:row>55</xdr:row>
      <xdr:rowOff>152400</xdr:rowOff>
    </xdr:to>
    <xdr:pic>
      <xdr:nvPicPr>
        <xdr:cNvPr id="8" name="Picture 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6667500"/>
          <a:ext cx="409575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oleObject" Target="../embeddings/oleObject_0_8.bin" /><Relationship Id="rId11" Type="http://schemas.openxmlformats.org/officeDocument/2006/relationships/oleObject" Target="../embeddings/oleObject_0_9.bin" /><Relationship Id="rId12" Type="http://schemas.openxmlformats.org/officeDocument/2006/relationships/oleObject" Target="../embeddings/oleObject_0_10.bin" /><Relationship Id="rId13" Type="http://schemas.openxmlformats.org/officeDocument/2006/relationships/oleObject" Target="../embeddings/oleObject_0_11.bin" /><Relationship Id="rId14" Type="http://schemas.openxmlformats.org/officeDocument/2006/relationships/oleObject" Target="../embeddings/oleObject_0_12.bin" /><Relationship Id="rId15" Type="http://schemas.openxmlformats.org/officeDocument/2006/relationships/oleObject" Target="../embeddings/oleObject_0_13.bin" /><Relationship Id="rId16" Type="http://schemas.openxmlformats.org/officeDocument/2006/relationships/oleObject" Target="../embeddings/oleObject_0_14.bin" /><Relationship Id="rId17" Type="http://schemas.openxmlformats.org/officeDocument/2006/relationships/oleObject" Target="../embeddings/oleObject_0_15.bin" /><Relationship Id="rId18" Type="http://schemas.openxmlformats.org/officeDocument/2006/relationships/vmlDrawing" Target="../drawings/vmlDrawing1.vml" /><Relationship Id="rId19" Type="http://schemas.openxmlformats.org/officeDocument/2006/relationships/drawing" Target="../drawings/drawing1.xml" /><Relationship Id="rId2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oleObject" Target="../embeddings/oleObject_1_2.bin" /><Relationship Id="rId5" Type="http://schemas.openxmlformats.org/officeDocument/2006/relationships/oleObject" Target="../embeddings/oleObject_1_3.bin" /><Relationship Id="rId6" Type="http://schemas.openxmlformats.org/officeDocument/2006/relationships/oleObject" Target="../embeddings/oleObject_1_4.bin" /><Relationship Id="rId7" Type="http://schemas.openxmlformats.org/officeDocument/2006/relationships/vmlDrawing" Target="../drawings/vmlDrawing2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oleObject" Target="../embeddings/oleObject_2_1.bin" /><Relationship Id="rId4" Type="http://schemas.openxmlformats.org/officeDocument/2006/relationships/oleObject" Target="../embeddings/oleObject_2_2.bin" /><Relationship Id="rId5" Type="http://schemas.openxmlformats.org/officeDocument/2006/relationships/oleObject" Target="../embeddings/oleObject_2_3.bin" /><Relationship Id="rId6" Type="http://schemas.openxmlformats.org/officeDocument/2006/relationships/oleObject" Target="../embeddings/oleObject_2_4.bin" /><Relationship Id="rId7" Type="http://schemas.openxmlformats.org/officeDocument/2006/relationships/oleObject" Target="../embeddings/oleObject_2_5.bin" /><Relationship Id="rId8" Type="http://schemas.openxmlformats.org/officeDocument/2006/relationships/oleObject" Target="../embeddings/oleObject_2_6.bin" /><Relationship Id="rId9" Type="http://schemas.openxmlformats.org/officeDocument/2006/relationships/oleObject" Target="../embeddings/oleObject_2_7.bin" /><Relationship Id="rId10" Type="http://schemas.openxmlformats.org/officeDocument/2006/relationships/oleObject" Target="../embeddings/oleObject_2_8.bin" /><Relationship Id="rId11" Type="http://schemas.openxmlformats.org/officeDocument/2006/relationships/oleObject" Target="../embeddings/oleObject_2_9.bin" /><Relationship Id="rId12" Type="http://schemas.openxmlformats.org/officeDocument/2006/relationships/oleObject" Target="../embeddings/oleObject_2_10.bin" /><Relationship Id="rId13" Type="http://schemas.openxmlformats.org/officeDocument/2006/relationships/oleObject" Target="../embeddings/oleObject_2_11.bin" /><Relationship Id="rId14" Type="http://schemas.openxmlformats.org/officeDocument/2006/relationships/oleObject" Target="../embeddings/oleObject_2_12.bin" /><Relationship Id="rId15" Type="http://schemas.openxmlformats.org/officeDocument/2006/relationships/oleObject" Target="../embeddings/oleObject_2_13.bin" /><Relationship Id="rId16" Type="http://schemas.openxmlformats.org/officeDocument/2006/relationships/oleObject" Target="../embeddings/oleObject_2_14.bin" /><Relationship Id="rId17" Type="http://schemas.openxmlformats.org/officeDocument/2006/relationships/oleObject" Target="../embeddings/oleObject_2_15.bin" /><Relationship Id="rId18" Type="http://schemas.openxmlformats.org/officeDocument/2006/relationships/vmlDrawing" Target="../drawings/vmlDrawing3.vml" /><Relationship Id="rId19" Type="http://schemas.openxmlformats.org/officeDocument/2006/relationships/drawing" Target="../drawings/drawing3.xml" /><Relationship Id="rId2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66"/>
  <sheetViews>
    <sheetView showGridLines="0" zoomScalePageLayoutView="0" workbookViewId="0" topLeftCell="A1">
      <selection activeCell="D8" sqref="D8"/>
    </sheetView>
  </sheetViews>
  <sheetFormatPr defaultColWidth="11.421875" defaultRowHeight="12.75" customHeight="1"/>
  <cols>
    <col min="1" max="1" width="33.140625" style="15" customWidth="1"/>
    <col min="2" max="2" width="10.28125" style="15" customWidth="1"/>
    <col min="3" max="3" width="7.140625" style="15" customWidth="1"/>
    <col min="4" max="4" width="14.140625" style="15" customWidth="1"/>
    <col min="5" max="6" width="10.7109375" style="15" customWidth="1"/>
    <col min="7" max="7" width="12.57421875" style="15" customWidth="1"/>
    <col min="8" max="8" width="14.421875" style="15" customWidth="1"/>
    <col min="9" max="9" width="5.7109375" style="15" customWidth="1"/>
    <col min="10" max="10" width="12.421875" style="15" customWidth="1"/>
    <col min="11" max="11" width="5.00390625" style="15" customWidth="1"/>
    <col min="12" max="12" width="13.8515625" style="15" customWidth="1"/>
    <col min="13" max="14" width="10.7109375" style="15" customWidth="1"/>
    <col min="15" max="15" width="14.421875" style="15" customWidth="1"/>
    <col min="16" max="16" width="9.421875" style="15" customWidth="1"/>
    <col min="17" max="17" width="10.7109375" style="15" customWidth="1"/>
    <col min="18" max="16384" width="11.421875" style="15" customWidth="1"/>
  </cols>
  <sheetData>
    <row r="1" spans="2:10" ht="12.75" customHeight="1">
      <c r="B1" s="1"/>
      <c r="C1" s="1"/>
      <c r="D1" s="1"/>
      <c r="E1" s="1"/>
      <c r="F1" s="1"/>
      <c r="G1" s="1"/>
      <c r="H1" s="1"/>
      <c r="I1" s="1"/>
      <c r="J1" s="1"/>
    </row>
    <row r="2" spans="2:10" ht="12.75" customHeight="1">
      <c r="B2" s="1"/>
      <c r="C2" s="1"/>
      <c r="D2" s="1"/>
      <c r="E2" s="1"/>
      <c r="F2" s="1"/>
      <c r="G2" s="1"/>
      <c r="H2" s="1"/>
      <c r="I2" s="1"/>
      <c r="J2" s="1"/>
    </row>
    <row r="3" spans="1:10" ht="12.7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 customHeight="1">
      <c r="A8" s="45"/>
      <c r="B8" s="1"/>
      <c r="C8" s="1"/>
      <c r="D8" s="1"/>
      <c r="E8" s="1"/>
      <c r="F8" s="45"/>
      <c r="G8" s="1"/>
      <c r="H8" s="1"/>
      <c r="I8" s="1"/>
      <c r="J8" s="1"/>
    </row>
    <row r="9" spans="1:10" ht="12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6" ht="12.7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L10" s="227" t="s">
        <v>216</v>
      </c>
      <c r="M10" s="228"/>
      <c r="N10" s="228"/>
      <c r="O10" s="228"/>
      <c r="P10" s="229"/>
    </row>
    <row r="11" spans="1:16" ht="12.75" customHeight="1" thickTop="1">
      <c r="A11" s="1"/>
      <c r="B11" s="1"/>
      <c r="C11" s="1"/>
      <c r="D11" s="1"/>
      <c r="E11" s="1"/>
      <c r="F11" s="1"/>
      <c r="G11" s="1"/>
      <c r="H11" s="1"/>
      <c r="I11" s="1"/>
      <c r="J11" s="1"/>
      <c r="L11" s="230" t="s">
        <v>220</v>
      </c>
      <c r="M11" s="231"/>
      <c r="N11" s="231"/>
      <c r="O11" s="89">
        <f>B26/H20</f>
        <v>1.3763646182533291</v>
      </c>
      <c r="P11" s="77" t="s">
        <v>2</v>
      </c>
    </row>
    <row r="12" spans="1:16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L12" s="232" t="s">
        <v>221</v>
      </c>
      <c r="M12" s="224"/>
      <c r="N12" s="224"/>
      <c r="O12" s="89">
        <f>(B21+1)*O11</f>
        <v>345.4675191815856</v>
      </c>
      <c r="P12" s="77" t="s">
        <v>2</v>
      </c>
    </row>
    <row r="13" spans="5:16" ht="12.75" customHeight="1">
      <c r="E13" s="1"/>
      <c r="F13" s="1"/>
      <c r="G13" s="1"/>
      <c r="H13" s="1"/>
      <c r="I13" s="1"/>
      <c r="J13" s="1"/>
      <c r="L13" s="232" t="s">
        <v>222</v>
      </c>
      <c r="M13" s="224"/>
      <c r="N13" s="224"/>
      <c r="O13" s="89">
        <f>1/((1/B17)+(1/B18)+(1/O12))</f>
        <v>278.1928931308755</v>
      </c>
      <c r="P13" s="77" t="s">
        <v>2</v>
      </c>
    </row>
    <row r="14" spans="5:16" ht="12.75" customHeight="1">
      <c r="E14" s="1"/>
      <c r="F14" s="47"/>
      <c r="G14" s="17"/>
      <c r="H14" s="17"/>
      <c r="I14" s="14"/>
      <c r="J14" s="1"/>
      <c r="L14" s="233" t="s">
        <v>223</v>
      </c>
      <c r="M14" s="226"/>
      <c r="N14" s="226"/>
      <c r="O14" s="75">
        <f>B19</f>
        <v>60</v>
      </c>
      <c r="P14" s="78" t="s">
        <v>2</v>
      </c>
    </row>
    <row r="15" spans="1:16" ht="12.75" customHeight="1" thickBot="1">
      <c r="A15" s="197" t="s">
        <v>231</v>
      </c>
      <c r="B15" s="198"/>
      <c r="C15" s="199"/>
      <c r="D15" s="79"/>
      <c r="E15" s="204" t="s">
        <v>217</v>
      </c>
      <c r="F15" s="205"/>
      <c r="G15" s="205"/>
      <c r="H15" s="205"/>
      <c r="I15" s="205"/>
      <c r="J15" s="206"/>
      <c r="L15" s="219" t="s">
        <v>225</v>
      </c>
      <c r="M15" s="220"/>
      <c r="N15" s="220"/>
      <c r="O15" s="91">
        <f>-(B21/(B21+1))*(D27/O11)</f>
        <v>-21.709710996181464</v>
      </c>
      <c r="P15" s="81"/>
    </row>
    <row r="16" spans="1:16" ht="12.75" customHeight="1" thickTop="1">
      <c r="A16" s="70" t="s">
        <v>5</v>
      </c>
      <c r="B16" s="71">
        <v>22</v>
      </c>
      <c r="C16" s="72" t="s">
        <v>1</v>
      </c>
      <c r="D16" s="73"/>
      <c r="E16" s="200" t="s">
        <v>199</v>
      </c>
      <c r="F16" s="201"/>
      <c r="G16" s="201"/>
      <c r="H16" s="53">
        <f>B16*(B18/(B17+B18))</f>
        <v>6.285714285714286</v>
      </c>
      <c r="I16" s="44" t="s">
        <v>1</v>
      </c>
      <c r="J16" s="56"/>
      <c r="L16" s="219" t="s">
        <v>210</v>
      </c>
      <c r="M16" s="220"/>
      <c r="N16" s="220"/>
      <c r="O16" s="92" t="str">
        <f>"("&amp;FIXED(H23+((H19/1000)*D27),1)&amp;"V;"&amp;FIXED(H19+((H23/D27)*1000),1)&amp;"mA)"</f>
        <v>(16,0V;531,9mA)</v>
      </c>
      <c r="P16" s="81" t="s">
        <v>226</v>
      </c>
    </row>
    <row r="17" spans="1:16" ht="12.75" customHeight="1">
      <c r="A17" s="70" t="s">
        <v>212</v>
      </c>
      <c r="B17" s="68">
        <v>5000</v>
      </c>
      <c r="C17" s="72" t="s">
        <v>2</v>
      </c>
      <c r="D17" s="73"/>
      <c r="E17" s="200" t="s">
        <v>209</v>
      </c>
      <c r="F17" s="201"/>
      <c r="G17" s="201"/>
      <c r="H17" s="68">
        <f>(B17*B18)/(B17+B18)</f>
        <v>1428.5714285714287</v>
      </c>
      <c r="I17" s="44" t="s">
        <v>2</v>
      </c>
      <c r="J17" s="57"/>
      <c r="L17" s="221" t="s">
        <v>227</v>
      </c>
      <c r="M17" s="234"/>
      <c r="N17" s="234"/>
      <c r="O17" s="51">
        <f>IF(H23*2&lt;(H19/1000)*D27*2,H23*2,(H19/1000)*D27*2)</f>
        <v>1.128904971801436</v>
      </c>
      <c r="P17" s="80" t="s">
        <v>228</v>
      </c>
    </row>
    <row r="18" spans="1:16" ht="12.75" customHeight="1">
      <c r="A18" s="70" t="s">
        <v>213</v>
      </c>
      <c r="B18" s="68">
        <v>2000</v>
      </c>
      <c r="C18" s="72" t="s">
        <v>2</v>
      </c>
      <c r="D18" s="73"/>
      <c r="E18" s="202" t="s">
        <v>200</v>
      </c>
      <c r="F18" s="203"/>
      <c r="G18" s="203"/>
      <c r="H18" s="49">
        <f>((H16-B22)/(H17+(B20*(B21+1))))*1000000</f>
        <v>75.26033145342906</v>
      </c>
      <c r="I18" s="54" t="s">
        <v>10</v>
      </c>
      <c r="J18" s="58"/>
      <c r="L18" s="225" t="s">
        <v>236</v>
      </c>
      <c r="M18" s="241"/>
      <c r="N18" s="241"/>
      <c r="O18" s="93">
        <f>O17/ABS(O15)</f>
        <v>0.05199999999999999</v>
      </c>
      <c r="P18" s="78" t="s">
        <v>228</v>
      </c>
    </row>
    <row r="19" spans="1:16" ht="12.75" customHeight="1">
      <c r="A19" s="70" t="s">
        <v>4</v>
      </c>
      <c r="B19" s="124">
        <v>60</v>
      </c>
      <c r="C19" s="72" t="s">
        <v>2</v>
      </c>
      <c r="D19" s="73"/>
      <c r="E19" s="200" t="s">
        <v>202</v>
      </c>
      <c r="F19" s="201"/>
      <c r="G19" s="201"/>
      <c r="H19" s="50">
        <f>(H18*B21)/1000</f>
        <v>18.815082863357265</v>
      </c>
      <c r="I19" s="44" t="s">
        <v>9</v>
      </c>
      <c r="J19" s="59" t="str">
        <f>IF(H15&lt;=100*0.99,"Ok","Excesivo")</f>
        <v>Ok</v>
      </c>
      <c r="L19" s="219" t="s">
        <v>243</v>
      </c>
      <c r="M19" s="220"/>
      <c r="N19" s="220"/>
      <c r="O19" s="91">
        <f>(POWER(O17,2)/(8*B27))*1000</f>
        <v>2.655055073662502</v>
      </c>
      <c r="P19" s="117" t="s">
        <v>12</v>
      </c>
    </row>
    <row r="20" spans="1:16" ht="12.75" customHeight="1">
      <c r="A20" s="70" t="s">
        <v>198</v>
      </c>
      <c r="B20" s="124">
        <v>290</v>
      </c>
      <c r="C20" s="72" t="s">
        <v>2</v>
      </c>
      <c r="D20" s="73"/>
      <c r="E20" s="200" t="s">
        <v>201</v>
      </c>
      <c r="F20" s="201"/>
      <c r="G20" s="201"/>
      <c r="H20" s="50">
        <f>(H18*(B21+1))/1000</f>
        <v>18.890343194810697</v>
      </c>
      <c r="I20" s="44" t="s">
        <v>9</v>
      </c>
      <c r="J20" s="56"/>
      <c r="L20" s="221" t="s">
        <v>240</v>
      </c>
      <c r="M20" s="222"/>
      <c r="N20" s="222"/>
      <c r="O20" s="120">
        <f>((1/(2*PI()*O13*B28))*1000000)*10</f>
        <v>57.21028359161608</v>
      </c>
      <c r="P20" s="80" t="s">
        <v>246</v>
      </c>
    </row>
    <row r="21" spans="1:16" ht="12.75" customHeight="1">
      <c r="A21" s="70" t="s">
        <v>3</v>
      </c>
      <c r="B21" s="73">
        <v>250</v>
      </c>
      <c r="C21" s="72"/>
      <c r="D21" s="73"/>
      <c r="E21" s="200" t="s">
        <v>203</v>
      </c>
      <c r="F21" s="201"/>
      <c r="G21" s="201"/>
      <c r="H21" s="50">
        <f>((B16-B23)/(B19+(B20*((B21+1)/(B21)))))*1000</f>
        <v>62.079963549379194</v>
      </c>
      <c r="I21" s="44" t="s">
        <v>9</v>
      </c>
      <c r="J21" s="60"/>
      <c r="L21" s="223" t="s">
        <v>241</v>
      </c>
      <c r="M21" s="224"/>
      <c r="N21" s="224"/>
      <c r="O21" s="68">
        <f>((1/(2*PI()*O14*B28))*1000000)*10</f>
        <v>265.25823848649225</v>
      </c>
      <c r="P21" s="77" t="s">
        <v>246</v>
      </c>
    </row>
    <row r="22" spans="1:16" ht="12.75" customHeight="1">
      <c r="A22" s="70" t="s">
        <v>7</v>
      </c>
      <c r="B22" s="69">
        <v>0.7</v>
      </c>
      <c r="C22" s="72" t="s">
        <v>1</v>
      </c>
      <c r="D22" s="73"/>
      <c r="E22" s="202" t="s">
        <v>214</v>
      </c>
      <c r="F22" s="203"/>
      <c r="G22" s="203"/>
      <c r="H22" s="51">
        <f>(B19*H19)/1000</f>
        <v>1.128904971801436</v>
      </c>
      <c r="I22" s="54" t="s">
        <v>1</v>
      </c>
      <c r="J22" s="61">
        <f>H22/B16</f>
        <v>0.051313862354610724</v>
      </c>
      <c r="L22" s="225" t="s">
        <v>245</v>
      </c>
      <c r="M22" s="226"/>
      <c r="N22" s="226"/>
      <c r="O22" s="90">
        <f>((1/(2*PI()*O13*B20))*1000000)*10</f>
        <v>19.727683997108993</v>
      </c>
      <c r="P22" s="78" t="s">
        <v>246</v>
      </c>
    </row>
    <row r="23" spans="1:16" ht="12.75" customHeight="1">
      <c r="A23" s="70" t="s">
        <v>8</v>
      </c>
      <c r="B23" s="69">
        <v>0.2</v>
      </c>
      <c r="C23" s="72" t="s">
        <v>1</v>
      </c>
      <c r="D23" s="73"/>
      <c r="E23" s="200" t="s">
        <v>6</v>
      </c>
      <c r="F23" s="201"/>
      <c r="G23" s="201"/>
      <c r="H23" s="69">
        <f>B16-H22-H24</f>
        <v>15.392895501703462</v>
      </c>
      <c r="I23" s="44" t="s">
        <v>1</v>
      </c>
      <c r="J23" s="59" t="str">
        <f>IF(H23&gt;0.21,IF(H23&gt;(B16-0.2),"Corte","Activa"),"Saturado")</f>
        <v>Activa</v>
      </c>
      <c r="L23" s="219" t="s">
        <v>247</v>
      </c>
      <c r="M23" s="220"/>
      <c r="N23" s="220"/>
      <c r="O23" s="91">
        <f>(ABS(O15)*(B21/1000))*O18</f>
        <v>0.282226242950359</v>
      </c>
      <c r="P23" s="81" t="s">
        <v>205</v>
      </c>
    </row>
    <row r="24" spans="1:16" ht="12.75" customHeight="1">
      <c r="A24" s="70" t="s">
        <v>196</v>
      </c>
      <c r="B24" s="68">
        <v>1500</v>
      </c>
      <c r="C24" s="72" t="s">
        <v>12</v>
      </c>
      <c r="D24" s="73"/>
      <c r="E24" s="200" t="s">
        <v>215</v>
      </c>
      <c r="F24" s="201"/>
      <c r="G24" s="201"/>
      <c r="H24" s="52">
        <f>(B20*H20)/1000</f>
        <v>5.478199526495102</v>
      </c>
      <c r="I24" s="55" t="s">
        <v>1</v>
      </c>
      <c r="J24" s="62">
        <f>H24/B16</f>
        <v>0.24900906938614098</v>
      </c>
      <c r="L24" s="218"/>
      <c r="M24" s="218"/>
      <c r="N24" s="218"/>
      <c r="O24" s="82"/>
      <c r="P24" s="73"/>
    </row>
    <row r="25" spans="1:10" ht="12.75" customHeight="1">
      <c r="A25" s="70" t="s">
        <v>197</v>
      </c>
      <c r="B25" s="68">
        <v>250</v>
      </c>
      <c r="C25" s="72" t="s">
        <v>12</v>
      </c>
      <c r="D25" s="73"/>
      <c r="E25" s="202" t="s">
        <v>11</v>
      </c>
      <c r="F25" s="203"/>
      <c r="G25" s="203"/>
      <c r="H25" s="53">
        <f>(B19*POWER((H19/1000),2))*1000</f>
        <v>21.240440589300015</v>
      </c>
      <c r="I25" s="44" t="s">
        <v>12</v>
      </c>
      <c r="J25" s="63">
        <f>H25/B25</f>
        <v>0.08496176235720006</v>
      </c>
    </row>
    <row r="26" spans="1:10" ht="12.75" customHeight="1">
      <c r="A26" s="70" t="s">
        <v>219</v>
      </c>
      <c r="B26" s="53">
        <v>26</v>
      </c>
      <c r="C26" s="72" t="s">
        <v>218</v>
      </c>
      <c r="D26" s="73"/>
      <c r="E26" s="200" t="s">
        <v>204</v>
      </c>
      <c r="F26" s="201"/>
      <c r="G26" s="201"/>
      <c r="H26" s="53">
        <f>(H23*(H19/1000))*1000</f>
        <v>289.61860437154996</v>
      </c>
      <c r="I26" s="44" t="s">
        <v>12</v>
      </c>
      <c r="J26" s="64">
        <f>H26/B24</f>
        <v>0.1930790695810333</v>
      </c>
    </row>
    <row r="27" spans="1:10" ht="12.75" customHeight="1">
      <c r="A27" s="70" t="s">
        <v>224</v>
      </c>
      <c r="B27" s="124">
        <v>60</v>
      </c>
      <c r="C27" s="72" t="s">
        <v>2</v>
      </c>
      <c r="D27" s="189">
        <f>(B19*B27)/(B19+B27)</f>
        <v>30</v>
      </c>
      <c r="E27" s="200" t="s">
        <v>206</v>
      </c>
      <c r="F27" s="201"/>
      <c r="G27" s="201"/>
      <c r="H27" s="53">
        <f>(B20*POWER((H20/1000),2))*1000</f>
        <v>103.48506914514192</v>
      </c>
      <c r="I27" s="44" t="s">
        <v>12</v>
      </c>
      <c r="J27" s="64">
        <f>H27/B25</f>
        <v>0.4139402765805677</v>
      </c>
    </row>
    <row r="28" spans="1:10" ht="12.75" customHeight="1">
      <c r="A28" s="110" t="s">
        <v>244</v>
      </c>
      <c r="B28" s="121">
        <v>100</v>
      </c>
      <c r="C28" s="122" t="s">
        <v>239</v>
      </c>
      <c r="E28" s="200" t="s">
        <v>13</v>
      </c>
      <c r="F28" s="201"/>
      <c r="G28" s="201"/>
      <c r="H28" s="52">
        <f>H25+H26+H27+((G35+G36)*1000)</f>
        <v>485.88061653912354</v>
      </c>
      <c r="I28" s="55" t="s">
        <v>12</v>
      </c>
      <c r="J28" s="65"/>
    </row>
    <row r="29" spans="5:10" ht="12.75" customHeight="1">
      <c r="E29" s="202" t="s">
        <v>210</v>
      </c>
      <c r="F29" s="203"/>
      <c r="G29" s="203"/>
      <c r="H29" s="66" t="str">
        <f>"("&amp;FIXED(B16,1)&amp;"V;"&amp;FIXED(H21,1)&amp;"mA)"</f>
        <v>(22,0V;62,1mA)</v>
      </c>
      <c r="I29" s="210" t="s">
        <v>211</v>
      </c>
      <c r="J29" s="211"/>
    </row>
    <row r="30" spans="1:10" ht="12.75" customHeight="1">
      <c r="A30" s="2" t="s">
        <v>0</v>
      </c>
      <c r="E30" s="214" t="s">
        <v>14</v>
      </c>
      <c r="F30" s="215"/>
      <c r="G30" s="215"/>
      <c r="H30" s="67" t="str">
        <f>"("&amp;FIXED(H23,1)&amp;"V;"&amp;FIXED(H19,1)&amp;"mA)"</f>
        <v>(15,4V;18,8mA)</v>
      </c>
      <c r="I30" s="212" t="s">
        <v>15</v>
      </c>
      <c r="J30" s="213"/>
    </row>
    <row r="31" spans="1:10" ht="12.75" customHeight="1">
      <c r="A31" s="3">
        <f ca="1">NOW()</f>
        <v>41082.51418090278</v>
      </c>
      <c r="E31" s="216" t="s">
        <v>232</v>
      </c>
      <c r="F31" s="217"/>
      <c r="G31" s="217"/>
      <c r="H31" s="111">
        <f>F35/(H18/1000000)</f>
        <v>42.75981001096091</v>
      </c>
      <c r="I31" s="115"/>
      <c r="J31" s="116" t="str">
        <f>IF(H31&lt;10,"Escasa","Ok")</f>
        <v>Ok</v>
      </c>
    </row>
    <row r="32" spans="9:16" ht="12.75" customHeight="1" thickBot="1">
      <c r="I32" s="14"/>
      <c r="J32" s="1"/>
      <c r="L32" s="207" t="s">
        <v>229</v>
      </c>
      <c r="M32" s="208"/>
      <c r="N32" s="208"/>
      <c r="O32" s="208"/>
      <c r="P32" s="209"/>
    </row>
    <row r="33" spans="5:16" ht="12.75" customHeight="1" thickTop="1">
      <c r="E33" s="125"/>
      <c r="F33" s="125"/>
      <c r="G33" s="125"/>
      <c r="H33" s="125"/>
      <c r="I33" s="14"/>
      <c r="J33" s="1"/>
      <c r="L33" s="243" t="s">
        <v>230</v>
      </c>
      <c r="M33" s="244"/>
      <c r="N33" s="244"/>
      <c r="O33" s="89">
        <f>(B26/1000)/(H18/1000000)</f>
        <v>345.46751918158566</v>
      </c>
      <c r="P33" s="84" t="s">
        <v>2</v>
      </c>
    </row>
    <row r="34" spans="5:16" ht="12.75" customHeight="1">
      <c r="E34" s="126"/>
      <c r="F34" s="127"/>
      <c r="G34" s="128"/>
      <c r="H34" s="129"/>
      <c r="I34" s="14"/>
      <c r="J34" s="1"/>
      <c r="L34" s="245" t="s">
        <v>221</v>
      </c>
      <c r="M34" s="246"/>
      <c r="N34" s="246"/>
      <c r="O34" s="89">
        <f>O33</f>
        <v>345.46751918158566</v>
      </c>
      <c r="P34" s="84" t="s">
        <v>2</v>
      </c>
    </row>
    <row r="35" spans="5:16" ht="12.75" customHeight="1">
      <c r="E35" s="87" t="s">
        <v>207</v>
      </c>
      <c r="F35" s="87">
        <f>(B16/(B17+B18))+(H18/1000000)</f>
        <v>0.003218117474310572</v>
      </c>
      <c r="G35" s="87">
        <f>B17*POWER(F35,2)</f>
        <v>0.051781400392315276</v>
      </c>
      <c r="H35" s="87" t="s">
        <v>205</v>
      </c>
      <c r="I35" s="48"/>
      <c r="J35" s="1"/>
      <c r="L35" s="245" t="s">
        <v>222</v>
      </c>
      <c r="M35" s="246"/>
      <c r="N35" s="246"/>
      <c r="O35" s="89">
        <f>1/((1/B17)+(1/B18)+(1/O34))</f>
        <v>278.1928931308755</v>
      </c>
      <c r="P35" s="84" t="s">
        <v>2</v>
      </c>
    </row>
    <row r="36" spans="5:16" ht="12.75" customHeight="1">
      <c r="E36" s="87" t="s">
        <v>208</v>
      </c>
      <c r="F36" s="87">
        <f>B16/(B17+B18)</f>
        <v>0.003142857142857143</v>
      </c>
      <c r="G36" s="87">
        <f>B18*POWER(F36,2)</f>
        <v>0.019755102040816326</v>
      </c>
      <c r="H36" s="87" t="s">
        <v>205</v>
      </c>
      <c r="I36" s="14"/>
      <c r="J36" s="1"/>
      <c r="L36" s="247" t="s">
        <v>223</v>
      </c>
      <c r="M36" s="240"/>
      <c r="N36" s="240"/>
      <c r="O36" s="75">
        <f>B19</f>
        <v>60</v>
      </c>
      <c r="P36" s="85" t="s">
        <v>2</v>
      </c>
    </row>
    <row r="37" spans="5:16" ht="12.75" customHeight="1">
      <c r="E37" s="126"/>
      <c r="F37" s="127"/>
      <c r="G37" s="130"/>
      <c r="H37" s="129"/>
      <c r="I37" s="14"/>
      <c r="J37" s="1"/>
      <c r="L37" s="235" t="s">
        <v>225</v>
      </c>
      <c r="M37" s="236"/>
      <c r="N37" s="236"/>
      <c r="O37" s="113">
        <f>-B21*(D27/O33)</f>
        <v>-21.70971099618146</v>
      </c>
      <c r="P37" s="86"/>
    </row>
    <row r="38" spans="5:16" ht="12.75" customHeight="1">
      <c r="E38" s="126"/>
      <c r="F38" s="127"/>
      <c r="G38" s="130"/>
      <c r="H38" s="129"/>
      <c r="I38" s="14"/>
      <c r="J38" s="1"/>
      <c r="L38" s="235" t="s">
        <v>210</v>
      </c>
      <c r="M38" s="242"/>
      <c r="N38" s="242"/>
      <c r="O38" s="92" t="str">
        <f>"("&amp;FIXED(H23+((H19/1000)*D27),1)&amp;"V;"&amp;FIXED(H19+((H23/D27)*1000),1)&amp;"mA)"</f>
        <v>(16,0V;531,9mA)</v>
      </c>
      <c r="P38" s="86" t="s">
        <v>226</v>
      </c>
    </row>
    <row r="39" spans="5:16" ht="12.75" customHeight="1">
      <c r="E39" s="1"/>
      <c r="F39" s="46"/>
      <c r="G39" s="16"/>
      <c r="H39" s="14"/>
      <c r="I39" s="14"/>
      <c r="J39" s="1"/>
      <c r="L39" s="237" t="s">
        <v>227</v>
      </c>
      <c r="M39" s="238"/>
      <c r="N39" s="238"/>
      <c r="O39" s="114">
        <f>IF(H23*2&lt;(H19/1000)*D27*2,H23*2,(H19/1000)*D27*2)</f>
        <v>1.128904971801436</v>
      </c>
      <c r="P39" s="84" t="s">
        <v>228</v>
      </c>
    </row>
    <row r="40" spans="5:16" ht="12.75" customHeight="1">
      <c r="E40" s="1"/>
      <c r="F40" s="46"/>
      <c r="G40" s="43"/>
      <c r="H40" s="14"/>
      <c r="I40" s="14"/>
      <c r="J40" s="1"/>
      <c r="L40" s="239" t="s">
        <v>236</v>
      </c>
      <c r="M40" s="240"/>
      <c r="N40" s="240"/>
      <c r="O40" s="93">
        <f>O17/ABS(O15)</f>
        <v>0.05199999999999999</v>
      </c>
      <c r="P40" s="85" t="s">
        <v>228</v>
      </c>
    </row>
    <row r="41" spans="5:10" ht="12.75" customHeight="1">
      <c r="E41" s="1"/>
      <c r="F41" s="5"/>
      <c r="G41" s="2"/>
      <c r="H41" s="17"/>
      <c r="I41" s="17"/>
      <c r="J41" s="1"/>
    </row>
    <row r="42" spans="1:10" ht="12.75" customHeight="1">
      <c r="A42" s="5"/>
      <c r="B42" s="1"/>
      <c r="C42" s="1"/>
      <c r="D42" s="1"/>
      <c r="G42" s="196">
        <f>O40*SIN(RADIANS(0))</f>
        <v>0</v>
      </c>
      <c r="H42" s="196">
        <f>G42*O37</f>
        <v>0</v>
      </c>
      <c r="J42" s="1"/>
    </row>
    <row r="43" spans="1:10" ht="12.75" customHeight="1">
      <c r="A43" s="5"/>
      <c r="B43" s="1"/>
      <c r="C43" s="1"/>
      <c r="D43" s="1"/>
      <c r="G43" s="196">
        <f>O40*SIN(RADIANS(30))</f>
        <v>0.025999999999999992</v>
      </c>
      <c r="H43" s="196">
        <f>G43*O37</f>
        <v>-0.5644524859007178</v>
      </c>
      <c r="J43" s="1"/>
    </row>
    <row r="44" spans="1:10" ht="12.75" customHeight="1">
      <c r="A44" s="1"/>
      <c r="B44" s="1"/>
      <c r="C44" s="1"/>
      <c r="D44" s="1"/>
      <c r="G44" s="196">
        <f>O40*SIN(RADIANS(60))</f>
        <v>0.0450333209967908</v>
      </c>
      <c r="H44" s="196">
        <f>G44*O37</f>
        <v>-0.9776603840385986</v>
      </c>
      <c r="J44" s="1"/>
    </row>
    <row r="45" spans="1:10" ht="12.75" customHeight="1">
      <c r="A45" s="5"/>
      <c r="B45" s="7"/>
      <c r="C45" s="1"/>
      <c r="D45" s="1"/>
      <c r="G45" s="196">
        <f>O40*SIN(RADIANS(90))</f>
        <v>0.05199999999999999</v>
      </c>
      <c r="H45" s="196">
        <f>G45*O37</f>
        <v>-1.1289049718014357</v>
      </c>
      <c r="J45" s="1"/>
    </row>
    <row r="46" spans="7:8" ht="12.75" customHeight="1">
      <c r="G46" s="196">
        <f>O40*SIN(RADIANS(120))</f>
        <v>0.045033320996790804</v>
      </c>
      <c r="H46" s="196">
        <f>G46*O37</f>
        <v>-0.9776603840385988</v>
      </c>
    </row>
    <row r="47" spans="7:8" ht="12.75" customHeight="1">
      <c r="G47" s="196">
        <f>O40*SIN(RADIANS(150))</f>
        <v>0.025999999999999992</v>
      </c>
      <c r="H47" s="196">
        <f>G47*O37</f>
        <v>-0.5644524859007178</v>
      </c>
    </row>
    <row r="48" spans="7:8" ht="12.75" customHeight="1">
      <c r="G48" s="196">
        <f>O40*SIN(RADIANS(180))</f>
        <v>6.370771965524823E-18</v>
      </c>
      <c r="H48" s="196">
        <f>G48*O37</f>
        <v>-1.3830761819411882E-16</v>
      </c>
    </row>
    <row r="49" spans="7:8" ht="12.75" customHeight="1">
      <c r="G49" s="196">
        <f>O40*SIN(RADIANS(210))</f>
        <v>-0.026000000000000002</v>
      </c>
      <c r="H49" s="196">
        <f>G49*O37</f>
        <v>0.5644524859007181</v>
      </c>
    </row>
    <row r="50" spans="7:8" ht="12.75" customHeight="1">
      <c r="G50" s="196">
        <f>O40*SIN(RADIANS(240))</f>
        <v>-0.04503332099679079</v>
      </c>
      <c r="H50" s="196">
        <f>G50*O37</f>
        <v>0.9776603840385985</v>
      </c>
    </row>
    <row r="51" spans="7:8" ht="12.75" customHeight="1">
      <c r="G51" s="196">
        <f>O40*SIN(RADIANS(270))</f>
        <v>-0.05199999999999999</v>
      </c>
      <c r="H51" s="196">
        <f>G51*O37</f>
        <v>1.1289049718014357</v>
      </c>
    </row>
    <row r="52" spans="7:8" ht="12.75" customHeight="1">
      <c r="G52" s="196">
        <f>O40*SIN(RADIANS(300))</f>
        <v>-0.0450333209967908</v>
      </c>
      <c r="H52" s="196">
        <f>G52*O37</f>
        <v>0.9776603840385986</v>
      </c>
    </row>
    <row r="53" spans="7:8" ht="12.75" customHeight="1">
      <c r="G53" s="196">
        <f>O40*SIN(RADIANS(330))</f>
        <v>-0.02600000000000002</v>
      </c>
      <c r="H53" s="196">
        <f>G53*O37</f>
        <v>0.5644524859007184</v>
      </c>
    </row>
    <row r="54" spans="7:8" ht="12.75" customHeight="1">
      <c r="G54" s="196">
        <f>O40*SIN(RADIANS(360))</f>
        <v>-1.2741543931049646E-17</v>
      </c>
      <c r="H54" s="196">
        <f>G54*O37</f>
        <v>2.7661523638823763E-16</v>
      </c>
    </row>
    <row r="55" spans="7:8" ht="12.75" customHeight="1">
      <c r="G55" s="196">
        <f>O40*SIN(RADIANS(30))</f>
        <v>0.025999999999999992</v>
      </c>
      <c r="H55" s="196">
        <f>G55*O37</f>
        <v>-0.5644524859007178</v>
      </c>
    </row>
    <row r="56" spans="7:8" ht="12.75" customHeight="1">
      <c r="G56" s="196">
        <f>O40*SIN(RADIANS(60))</f>
        <v>0.0450333209967908</v>
      </c>
      <c r="H56" s="196">
        <f>G56*O37</f>
        <v>-0.9776603840385986</v>
      </c>
    </row>
    <row r="57" spans="7:8" ht="12.75" customHeight="1">
      <c r="G57" s="196">
        <f>O40*SIN(RADIANS(90))</f>
        <v>0.05199999999999999</v>
      </c>
      <c r="H57" s="196">
        <f>G57*O37</f>
        <v>-1.1289049718014357</v>
      </c>
    </row>
    <row r="58" spans="7:8" ht="12.75" customHeight="1">
      <c r="G58" s="196">
        <f>O40*SIN(RADIANS(120))</f>
        <v>0.045033320996790804</v>
      </c>
      <c r="H58" s="196">
        <f>G58*O37</f>
        <v>-0.9776603840385988</v>
      </c>
    </row>
    <row r="59" spans="7:8" ht="12.75" customHeight="1">
      <c r="G59" s="196">
        <f>O40*SIN(RADIANS(150))</f>
        <v>0.025999999999999992</v>
      </c>
      <c r="H59" s="196">
        <f>G59*O37</f>
        <v>-0.5644524859007178</v>
      </c>
    </row>
    <row r="60" spans="7:8" ht="12.75" customHeight="1">
      <c r="G60" s="196">
        <f>O40*SIN(RADIANS(180))</f>
        <v>6.370771965524823E-18</v>
      </c>
      <c r="H60" s="196">
        <f>G60*O37</f>
        <v>-1.3830761819411882E-16</v>
      </c>
    </row>
    <row r="61" spans="7:8" ht="12.75" customHeight="1">
      <c r="G61" s="196">
        <f>O40*SIN(RADIANS(210))</f>
        <v>-0.026000000000000002</v>
      </c>
      <c r="H61" s="196">
        <f>G61*O37</f>
        <v>0.5644524859007181</v>
      </c>
    </row>
    <row r="62" spans="7:8" ht="12.75" customHeight="1">
      <c r="G62" s="196">
        <f>O40*SIN(RADIANS(240))</f>
        <v>-0.04503332099679079</v>
      </c>
      <c r="H62" s="196">
        <f>G62*O37</f>
        <v>0.9776603840385985</v>
      </c>
    </row>
    <row r="63" spans="7:8" ht="12.75" customHeight="1">
      <c r="G63" s="196">
        <f>O40*SIN(RADIANS(270))</f>
        <v>-0.05199999999999999</v>
      </c>
      <c r="H63" s="196">
        <f>G63*O37</f>
        <v>1.1289049718014357</v>
      </c>
    </row>
    <row r="64" spans="7:8" ht="12.75" customHeight="1">
      <c r="G64" s="196">
        <f>O40*SIN(RADIANS(300))</f>
        <v>-0.0450333209967908</v>
      </c>
      <c r="H64" s="196">
        <f>G64*O37</f>
        <v>0.9776603840385986</v>
      </c>
    </row>
    <row r="65" spans="7:8" ht="12.75" customHeight="1">
      <c r="G65" s="196">
        <f>O40*SIN(RADIANS(330))</f>
        <v>-0.02600000000000002</v>
      </c>
      <c r="H65" s="196">
        <f>G65*O37</f>
        <v>0.5644524859007184</v>
      </c>
    </row>
    <row r="66" spans="7:8" ht="12.75" customHeight="1">
      <c r="G66" s="196">
        <f>O40*SIN(RADIANS(360))</f>
        <v>-1.2741543931049646E-17</v>
      </c>
      <c r="H66" s="196">
        <f>G66*O37</f>
        <v>2.7661523638823763E-16</v>
      </c>
    </row>
  </sheetData>
  <sheetProtection/>
  <mergeCells count="44">
    <mergeCell ref="L36:N36"/>
    <mergeCell ref="L23:N23"/>
    <mergeCell ref="L16:N16"/>
    <mergeCell ref="L17:N17"/>
    <mergeCell ref="L37:N37"/>
    <mergeCell ref="L39:N39"/>
    <mergeCell ref="L40:N40"/>
    <mergeCell ref="L18:N18"/>
    <mergeCell ref="L38:N38"/>
    <mergeCell ref="L33:N33"/>
    <mergeCell ref="L34:N34"/>
    <mergeCell ref="L35:N35"/>
    <mergeCell ref="L10:P10"/>
    <mergeCell ref="L11:N11"/>
    <mergeCell ref="L12:N12"/>
    <mergeCell ref="L13:N13"/>
    <mergeCell ref="L14:N14"/>
    <mergeCell ref="L15:N15"/>
    <mergeCell ref="E19:G19"/>
    <mergeCell ref="E20:G20"/>
    <mergeCell ref="E21:G21"/>
    <mergeCell ref="L24:N24"/>
    <mergeCell ref="L19:N19"/>
    <mergeCell ref="L20:N20"/>
    <mergeCell ref="L21:N21"/>
    <mergeCell ref="L22:N22"/>
    <mergeCell ref="I29:J29"/>
    <mergeCell ref="I30:J30"/>
    <mergeCell ref="E30:G30"/>
    <mergeCell ref="E31:G31"/>
    <mergeCell ref="E25:G25"/>
    <mergeCell ref="E22:G22"/>
    <mergeCell ref="E23:G23"/>
    <mergeCell ref="E24:G24"/>
    <mergeCell ref="A15:C15"/>
    <mergeCell ref="E16:G16"/>
    <mergeCell ref="E17:G17"/>
    <mergeCell ref="E18:G18"/>
    <mergeCell ref="E15:J15"/>
    <mergeCell ref="L32:P32"/>
    <mergeCell ref="E26:G26"/>
    <mergeCell ref="E27:G27"/>
    <mergeCell ref="E28:G28"/>
    <mergeCell ref="E29:G29"/>
  </mergeCells>
  <printOptions/>
  <pageMargins left="0.1968503937007874" right="0.1968503937007874" top="0.7874015748031497" bottom="0.1968503937007874" header="0" footer="0"/>
  <pageSetup horizontalDpi="600" verticalDpi="600" orientation="landscape" paperSize="9" r:id="rId20"/>
  <drawing r:id="rId19"/>
  <legacyDrawing r:id="rId18"/>
  <oleObjects>
    <oleObject progId="Equation.DSMT4" shapeId="5898072" r:id="rId2"/>
    <oleObject progId="Equation.DSMT4" shapeId="5899683" r:id="rId3"/>
    <oleObject progId="Equation.DSMT4" shapeId="5901474" r:id="rId4"/>
    <oleObject progId="Equation.DSMT4" shapeId="6102325" r:id="rId5"/>
    <oleObject progId="Equation.DSMT4" shapeId="6105620" r:id="rId6"/>
    <oleObject progId="Equation.DSMT4" shapeId="6111224" r:id="rId7"/>
    <oleObject progId="Equation.DSMT4" shapeId="6112201" r:id="rId8"/>
    <oleObject progId="Equation.DSMT4" shapeId="6114483" r:id="rId9"/>
    <oleObject progId="Equation.DSMT4" shapeId="6118954" r:id="rId10"/>
    <oleObject progId="Equation.DSMT4" shapeId="6129605" r:id="rId11"/>
    <oleObject progId="Equation.DSMT4" shapeId="6136311" r:id="rId12"/>
    <oleObject progId="Equation.DSMT4" shapeId="6136667" r:id="rId13"/>
    <oleObject progId="Equation.DSMT4" shapeId="6142141" r:id="rId14"/>
    <oleObject progId="Equation.DSMT4" shapeId="6142142" r:id="rId15"/>
    <oleObject progId="Equation.DSMT4" shapeId="6142143" r:id="rId16"/>
    <oleObject progId="Equation.DSMT4" shapeId="114904" r:id="rId17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T45"/>
  <sheetViews>
    <sheetView showGridLines="0" zoomScalePageLayoutView="0" workbookViewId="0" topLeftCell="A1">
      <selection activeCell="B29" sqref="B29"/>
    </sheetView>
  </sheetViews>
  <sheetFormatPr defaultColWidth="11.421875" defaultRowHeight="12.75" customHeight="1"/>
  <cols>
    <col min="1" max="1" width="35.421875" style="15" customWidth="1"/>
    <col min="2" max="2" width="12.421875" style="15" customWidth="1"/>
    <col min="3" max="3" width="6.421875" style="15" customWidth="1"/>
    <col min="4" max="4" width="7.7109375" style="15" customWidth="1"/>
    <col min="5" max="6" width="10.7109375" style="15" customWidth="1"/>
    <col min="7" max="7" width="11.28125" style="15" customWidth="1"/>
    <col min="8" max="8" width="15.00390625" style="15" customWidth="1"/>
    <col min="9" max="9" width="4.57421875" style="15" customWidth="1"/>
    <col min="10" max="10" width="12.421875" style="15" customWidth="1"/>
    <col min="11" max="11" width="10.140625" style="15" customWidth="1"/>
    <col min="12" max="12" width="4.140625" style="15" customWidth="1"/>
    <col min="13" max="13" width="14.00390625" style="15" customWidth="1"/>
    <col min="14" max="15" width="10.7109375" style="15" customWidth="1"/>
    <col min="16" max="16" width="13.57421875" style="15" customWidth="1"/>
    <col min="17" max="17" width="9.421875" style="15" customWidth="1"/>
    <col min="18" max="18" width="10.7109375" style="15" customWidth="1"/>
    <col min="19" max="19" width="7.28125" style="15" customWidth="1"/>
    <col min="20" max="20" width="15.140625" style="15" customWidth="1"/>
    <col min="21" max="16384" width="11.421875" style="15" customWidth="1"/>
  </cols>
  <sheetData>
    <row r="1" spans="2:10" ht="12.75" customHeight="1">
      <c r="B1" s="1"/>
      <c r="C1" s="1"/>
      <c r="D1" s="1"/>
      <c r="E1" s="1"/>
      <c r="F1" s="1"/>
      <c r="G1" s="1"/>
      <c r="H1" s="1"/>
      <c r="I1" s="1"/>
      <c r="J1" s="1"/>
    </row>
    <row r="2" spans="2:10" ht="12.75" customHeight="1">
      <c r="B2" s="1"/>
      <c r="C2" s="1"/>
      <c r="D2" s="1"/>
      <c r="E2" s="1"/>
      <c r="F2" s="1"/>
      <c r="G2" s="1"/>
      <c r="H2" s="1"/>
      <c r="I2" s="1"/>
      <c r="J2" s="1"/>
    </row>
    <row r="3" spans="1:10" ht="12.7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 customHeight="1">
      <c r="A8" s="45"/>
      <c r="B8" s="1"/>
      <c r="C8" s="1"/>
      <c r="D8" s="1"/>
      <c r="E8" s="1"/>
      <c r="F8" s="45"/>
      <c r="G8" s="1"/>
      <c r="H8" s="1"/>
      <c r="I8" s="1"/>
      <c r="J8" s="1"/>
    </row>
    <row r="9" spans="1:10" ht="12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5:10" ht="12.75" customHeight="1">
      <c r="E13" s="1"/>
      <c r="F13" s="1"/>
      <c r="G13" s="1"/>
      <c r="H13" s="1"/>
      <c r="I13" s="1"/>
      <c r="J13" s="1"/>
    </row>
    <row r="14" spans="5:10" ht="12.75" customHeight="1">
      <c r="E14" s="1"/>
      <c r="F14" s="47"/>
      <c r="G14" s="17"/>
      <c r="H14" s="17"/>
      <c r="I14" s="14"/>
      <c r="J14" s="1"/>
    </row>
    <row r="15" spans="1:20" ht="12.75" customHeight="1" thickBot="1">
      <c r="A15" s="197" t="s">
        <v>233</v>
      </c>
      <c r="B15" s="198"/>
      <c r="C15" s="199"/>
      <c r="D15" s="79"/>
      <c r="E15" s="204" t="s">
        <v>217</v>
      </c>
      <c r="F15" s="205"/>
      <c r="G15" s="205"/>
      <c r="H15" s="205"/>
      <c r="I15" s="205"/>
      <c r="J15" s="206"/>
      <c r="M15" s="227" t="s">
        <v>278</v>
      </c>
      <c r="N15" s="228"/>
      <c r="O15" s="228"/>
      <c r="P15" s="228"/>
      <c r="Q15" s="229"/>
      <c r="T15" s="191">
        <f>(((B17*B26)/(B17+B26))/(B19+1))</f>
        <v>0.21334026858523908</v>
      </c>
    </row>
    <row r="16" spans="1:20" ht="12.75" customHeight="1" thickTop="1">
      <c r="A16" s="70" t="s">
        <v>5</v>
      </c>
      <c r="B16" s="71">
        <v>18</v>
      </c>
      <c r="C16" s="72" t="s">
        <v>1</v>
      </c>
      <c r="D16" s="73"/>
      <c r="E16" s="202" t="s">
        <v>200</v>
      </c>
      <c r="F16" s="203"/>
      <c r="G16" s="203"/>
      <c r="H16" s="53">
        <f>((B16-B20)/(B17+(B18*(B19+1))))*1000000</f>
        <v>51.77470521338362</v>
      </c>
      <c r="I16" s="54" t="s">
        <v>10</v>
      </c>
      <c r="J16" s="56"/>
      <c r="M16" s="230" t="s">
        <v>220</v>
      </c>
      <c r="N16" s="248"/>
      <c r="O16" s="248"/>
      <c r="P16" s="89">
        <f>B24/H18</f>
        <v>1.7871022154567706</v>
      </c>
      <c r="Q16" s="77" t="s">
        <v>2</v>
      </c>
      <c r="T16" s="192">
        <f>(P16+(((B17*B26)/(B17+B26))/(B19+1)))</f>
        <v>2.0004424840420096</v>
      </c>
    </row>
    <row r="17" spans="1:17" ht="12.75" customHeight="1">
      <c r="A17" s="70" t="s">
        <v>212</v>
      </c>
      <c r="B17" s="68">
        <v>70000</v>
      </c>
      <c r="C17" s="72" t="s">
        <v>2</v>
      </c>
      <c r="D17" s="73"/>
      <c r="E17" s="200" t="s">
        <v>202</v>
      </c>
      <c r="F17" s="201"/>
      <c r="G17" s="201"/>
      <c r="H17" s="50">
        <f>(H16/1000)*B19</f>
        <v>14.496917459747413</v>
      </c>
      <c r="I17" s="44" t="s">
        <v>9</v>
      </c>
      <c r="J17" s="59" t="str">
        <f>IF(H15&lt;=100*0.99,"Ok","Excesivo")</f>
        <v>Ok</v>
      </c>
      <c r="M17" s="232" t="s">
        <v>237</v>
      </c>
      <c r="N17" s="251"/>
      <c r="O17" s="251"/>
      <c r="P17" s="89">
        <f>(B18*B25)/(B18+B25)</f>
        <v>44.76190476190476</v>
      </c>
      <c r="Q17" s="77" t="s">
        <v>2</v>
      </c>
    </row>
    <row r="18" spans="1:17" ht="12.75" customHeight="1">
      <c r="A18" s="70" t="s">
        <v>198</v>
      </c>
      <c r="B18" s="68">
        <v>940</v>
      </c>
      <c r="C18" s="72" t="s">
        <v>2</v>
      </c>
      <c r="D18" s="73"/>
      <c r="E18" s="200" t="s">
        <v>201</v>
      </c>
      <c r="F18" s="201"/>
      <c r="G18" s="201"/>
      <c r="H18" s="50">
        <f>(H16/1000)+H17</f>
        <v>14.548692164960796</v>
      </c>
      <c r="I18" s="44" t="s">
        <v>9</v>
      </c>
      <c r="J18" s="58"/>
      <c r="M18" s="232" t="s">
        <v>221</v>
      </c>
      <c r="N18" s="249"/>
      <c r="O18" s="249"/>
      <c r="P18" s="109">
        <f>(B19+1)*(P16+P17)</f>
        <v>13080.270960638589</v>
      </c>
      <c r="Q18" s="77" t="s">
        <v>2</v>
      </c>
    </row>
    <row r="19" spans="1:17" ht="12.75" customHeight="1">
      <c r="A19" s="70" t="s">
        <v>3</v>
      </c>
      <c r="B19" s="73">
        <v>280</v>
      </c>
      <c r="C19" s="72"/>
      <c r="D19" s="73"/>
      <c r="E19" s="200" t="s">
        <v>203</v>
      </c>
      <c r="F19" s="201"/>
      <c r="G19" s="201"/>
      <c r="H19" s="99">
        <f>((B16-B21)/(B18*((B19+1)/B19)))*1000</f>
        <v>18.868781706670706</v>
      </c>
      <c r="I19" s="55" t="s">
        <v>9</v>
      </c>
      <c r="J19" s="100"/>
      <c r="M19" s="232" t="s">
        <v>222</v>
      </c>
      <c r="N19" s="249"/>
      <c r="O19" s="249"/>
      <c r="P19" s="109">
        <f>(B17*P18)/(B17+P18)</f>
        <v>11020.895293883903</v>
      </c>
      <c r="Q19" s="77" t="s">
        <v>2</v>
      </c>
    </row>
    <row r="20" spans="1:17" ht="12.75" customHeight="1">
      <c r="A20" s="70" t="s">
        <v>7</v>
      </c>
      <c r="B20" s="69">
        <v>0.7</v>
      </c>
      <c r="C20" s="72" t="s">
        <v>1</v>
      </c>
      <c r="D20" s="73"/>
      <c r="E20" s="202" t="s">
        <v>234</v>
      </c>
      <c r="F20" s="203"/>
      <c r="G20" s="203"/>
      <c r="H20" s="53">
        <f>(H16/1000000)*B17</f>
        <v>3.6242293649368533</v>
      </c>
      <c r="I20" s="4" t="s">
        <v>1</v>
      </c>
      <c r="J20" s="61">
        <f>H20/B16</f>
        <v>0.2013460758298252</v>
      </c>
      <c r="M20" s="233" t="s">
        <v>223</v>
      </c>
      <c r="N20" s="253"/>
      <c r="O20" s="253"/>
      <c r="P20" s="99">
        <f>(B18*T16)/(B18+T16)</f>
        <v>1.996194322415453</v>
      </c>
      <c r="Q20" s="78" t="s">
        <v>2</v>
      </c>
    </row>
    <row r="21" spans="1:17" ht="12.75" customHeight="1">
      <c r="A21" s="70" t="s">
        <v>8</v>
      </c>
      <c r="B21" s="69">
        <v>0.2</v>
      </c>
      <c r="C21" s="72" t="s">
        <v>1</v>
      </c>
      <c r="D21" s="73"/>
      <c r="E21" s="200" t="s">
        <v>6</v>
      </c>
      <c r="F21" s="201"/>
      <c r="G21" s="201"/>
      <c r="H21" s="53">
        <f>B16-((H18/1000)*B18)</f>
        <v>4.324229364936853</v>
      </c>
      <c r="I21" s="6" t="s">
        <v>1</v>
      </c>
      <c r="J21" s="59" t="str">
        <f>IF(H21&gt;0.21,IF(H21&gt;(B16-0.5),"Corte","Activa"),"Saturado")</f>
        <v>Activa</v>
      </c>
      <c r="M21" s="254" t="s">
        <v>225</v>
      </c>
      <c r="N21" s="220"/>
      <c r="O21" s="220"/>
      <c r="P21" s="123" t="str">
        <f>"+ "&amp;FIXED(P17/(P16+P17),4)</f>
        <v>+ 0,9616</v>
      </c>
      <c r="Q21" s="81"/>
    </row>
    <row r="22" spans="1:17" ht="12.75" customHeight="1">
      <c r="A22" s="70" t="s">
        <v>196</v>
      </c>
      <c r="B22" s="68">
        <v>1500</v>
      </c>
      <c r="C22" s="72" t="s">
        <v>12</v>
      </c>
      <c r="D22" s="73"/>
      <c r="E22" s="200" t="s">
        <v>215</v>
      </c>
      <c r="F22" s="201"/>
      <c r="G22" s="201"/>
      <c r="H22" s="52">
        <f>(H18/1000)*B18</f>
        <v>13.675770635063147</v>
      </c>
      <c r="I22" s="55" t="s">
        <v>1</v>
      </c>
      <c r="J22" s="62">
        <f>H22/B16</f>
        <v>0.7597650352812859</v>
      </c>
      <c r="M22" s="252" t="s">
        <v>240</v>
      </c>
      <c r="N22" s="234"/>
      <c r="O22" s="234"/>
      <c r="P22" s="120">
        <f>((1/(2*PI()*P19*B27))*1000000)*10</f>
        <v>7.220599545130382</v>
      </c>
      <c r="Q22" s="80" t="s">
        <v>242</v>
      </c>
    </row>
    <row r="23" spans="1:17" ht="12.75" customHeight="1">
      <c r="A23" s="70" t="s">
        <v>197</v>
      </c>
      <c r="B23" s="68">
        <v>250</v>
      </c>
      <c r="C23" s="72" t="s">
        <v>12</v>
      </c>
      <c r="D23" s="73"/>
      <c r="E23" s="202" t="s">
        <v>235</v>
      </c>
      <c r="F23" s="203"/>
      <c r="G23" s="203"/>
      <c r="H23" s="50">
        <f>H20*(H16/1000)</f>
        <v>0.1876434069952941</v>
      </c>
      <c r="I23" s="44" t="s">
        <v>12</v>
      </c>
      <c r="J23" s="63">
        <f>H23/B23</f>
        <v>0.0007505736279811764</v>
      </c>
      <c r="M23" s="233" t="s">
        <v>241</v>
      </c>
      <c r="N23" s="241"/>
      <c r="O23" s="241"/>
      <c r="P23" s="90">
        <f>((1/(2*PI()*B25*B27))*1000000)*10</f>
        <v>1693.1376924669714</v>
      </c>
      <c r="Q23" s="78" t="s">
        <v>242</v>
      </c>
    </row>
    <row r="24" spans="1:17" ht="12.75" customHeight="1">
      <c r="A24" s="70" t="s">
        <v>219</v>
      </c>
      <c r="B24" s="53">
        <v>26</v>
      </c>
      <c r="C24" s="72" t="s">
        <v>218</v>
      </c>
      <c r="D24" s="73"/>
      <c r="E24" s="200" t="s">
        <v>204</v>
      </c>
      <c r="F24" s="201"/>
      <c r="G24" s="201"/>
      <c r="H24" s="53">
        <f>H21*H17</f>
        <v>62.687996180505536</v>
      </c>
      <c r="I24" s="44" t="s">
        <v>12</v>
      </c>
      <c r="J24" s="64">
        <f>H24/B22</f>
        <v>0.041791997453670356</v>
      </c>
      <c r="M24" s="250"/>
      <c r="N24" s="250"/>
      <c r="O24" s="250"/>
      <c r="P24" s="119"/>
      <c r="Q24" s="112"/>
    </row>
    <row r="25" spans="1:11" ht="12.75" customHeight="1">
      <c r="A25" s="74" t="s">
        <v>224</v>
      </c>
      <c r="B25" s="75">
        <v>47</v>
      </c>
      <c r="C25" s="76" t="s">
        <v>2</v>
      </c>
      <c r="D25" s="73"/>
      <c r="E25" s="200" t="s">
        <v>206</v>
      </c>
      <c r="F25" s="201"/>
      <c r="G25" s="201"/>
      <c r="H25" s="53">
        <f>H22*H18</f>
        <v>198.96457708814413</v>
      </c>
      <c r="I25" s="44" t="s">
        <v>12</v>
      </c>
      <c r="J25" s="63">
        <f>H25/B23</f>
        <v>0.7958583083525765</v>
      </c>
      <c r="K25" s="101" t="str">
        <f>IF(J25&gt;=1,"¡Excesiva!","Ok")</f>
        <v>Ok</v>
      </c>
    </row>
    <row r="26" spans="1:10" ht="12.75" customHeight="1">
      <c r="A26" s="110" t="s">
        <v>238</v>
      </c>
      <c r="B26" s="111">
        <v>60</v>
      </c>
      <c r="C26" s="76" t="s">
        <v>2</v>
      </c>
      <c r="D26" s="73"/>
      <c r="E26" s="200" t="s">
        <v>13</v>
      </c>
      <c r="F26" s="201"/>
      <c r="G26" s="201"/>
      <c r="H26" s="52">
        <f>H23+H24+H25</f>
        <v>261.84021667564497</v>
      </c>
      <c r="I26" s="55" t="s">
        <v>12</v>
      </c>
      <c r="J26" s="100"/>
    </row>
    <row r="27" spans="1:10" ht="12.75" customHeight="1">
      <c r="A27" s="110" t="s">
        <v>244</v>
      </c>
      <c r="B27" s="121">
        <v>20</v>
      </c>
      <c r="C27" s="122" t="s">
        <v>239</v>
      </c>
      <c r="D27" s="48"/>
      <c r="E27" s="202" t="s">
        <v>210</v>
      </c>
      <c r="F27" s="203"/>
      <c r="G27" s="203"/>
      <c r="H27" s="102" t="str">
        <f>"("&amp;FIXED(B16,1)&amp;"V;"&amp;FIXED(H19,1)&amp;"mA)"</f>
        <v>(18,0V;18,9mA)</v>
      </c>
      <c r="I27" s="210" t="s">
        <v>211</v>
      </c>
      <c r="J27" s="211"/>
    </row>
    <row r="28" spans="1:10" ht="12.75" customHeight="1">
      <c r="A28" s="118"/>
      <c r="B28" s="112"/>
      <c r="C28" s="112"/>
      <c r="D28" s="1"/>
      <c r="E28" s="214" t="s">
        <v>14</v>
      </c>
      <c r="F28" s="215"/>
      <c r="G28" s="215"/>
      <c r="H28" s="103" t="str">
        <f>"("&amp;FIXED(H21,1)&amp;"V;"&amp;FIXED(H17,1)&amp;"mA)"</f>
        <v>(4,3V;14,5mA)</v>
      </c>
      <c r="I28" s="212" t="s">
        <v>15</v>
      </c>
      <c r="J28" s="213"/>
    </row>
    <row r="29" spans="4:8" ht="12.75" customHeight="1">
      <c r="D29" s="1"/>
      <c r="H29" s="66"/>
    </row>
    <row r="30" spans="1:10" ht="12.75" customHeight="1">
      <c r="A30" s="2" t="s">
        <v>0</v>
      </c>
      <c r="E30" s="83"/>
      <c r="F30" s="83"/>
      <c r="G30" s="83"/>
      <c r="H30" s="94"/>
      <c r="I30" s="83"/>
      <c r="J30" s="83"/>
    </row>
    <row r="31" spans="1:17" ht="12.75" customHeight="1">
      <c r="A31" s="3">
        <f ca="1">NOW()</f>
        <v>41082.51418090278</v>
      </c>
      <c r="E31" s="46"/>
      <c r="F31" s="97"/>
      <c r="G31" s="98"/>
      <c r="H31" s="95"/>
      <c r="I31" s="14"/>
      <c r="J31" s="96"/>
      <c r="M31" s="83"/>
      <c r="N31" s="83"/>
      <c r="O31" s="83"/>
      <c r="P31" s="83"/>
      <c r="Q31" s="83"/>
    </row>
    <row r="32" spans="9:17" ht="12.75" customHeight="1">
      <c r="I32" s="14"/>
      <c r="J32" s="1"/>
      <c r="M32" s="105"/>
      <c r="N32" s="105"/>
      <c r="O32" s="105"/>
      <c r="P32" s="105"/>
      <c r="Q32" s="105"/>
    </row>
    <row r="33" spans="9:17" ht="12.75" customHeight="1">
      <c r="I33" s="14"/>
      <c r="J33" s="1"/>
      <c r="M33" s="106"/>
      <c r="N33" s="107"/>
      <c r="O33" s="107"/>
      <c r="P33" s="53"/>
      <c r="Q33" s="73"/>
    </row>
    <row r="34" spans="5:17" ht="12.75" customHeight="1">
      <c r="E34" s="1"/>
      <c r="F34" s="46"/>
      <c r="G34" s="88"/>
      <c r="H34" s="14"/>
      <c r="I34" s="14"/>
      <c r="J34" s="1"/>
      <c r="M34" s="106"/>
      <c r="N34" s="107"/>
      <c r="O34" s="107"/>
      <c r="P34" s="53"/>
      <c r="Q34" s="73"/>
    </row>
    <row r="35" spans="5:17" ht="12.75" customHeight="1">
      <c r="E35" s="87"/>
      <c r="F35" s="87"/>
      <c r="G35" s="87"/>
      <c r="H35" s="87"/>
      <c r="I35" s="48"/>
      <c r="J35" s="1"/>
      <c r="M35" s="106"/>
      <c r="N35" s="107"/>
      <c r="O35" s="107"/>
      <c r="P35" s="53"/>
      <c r="Q35" s="73"/>
    </row>
    <row r="36" spans="5:17" ht="12.75" customHeight="1">
      <c r="E36" s="87"/>
      <c r="F36" s="87"/>
      <c r="G36" s="87"/>
      <c r="H36" s="87"/>
      <c r="I36" s="14"/>
      <c r="J36" s="1"/>
      <c r="M36" s="106"/>
      <c r="N36" s="107"/>
      <c r="O36" s="107"/>
      <c r="P36" s="68"/>
      <c r="Q36" s="73"/>
    </row>
    <row r="37" spans="5:17" ht="12.75" customHeight="1">
      <c r="E37" s="1"/>
      <c r="F37" s="46"/>
      <c r="G37" s="16"/>
      <c r="H37" s="14"/>
      <c r="I37" s="14"/>
      <c r="J37" s="1"/>
      <c r="M37" s="106"/>
      <c r="N37" s="106"/>
      <c r="O37" s="106"/>
      <c r="P37" s="69"/>
      <c r="Q37" s="73"/>
    </row>
    <row r="38" spans="5:17" ht="12.75" customHeight="1">
      <c r="E38" s="1"/>
      <c r="F38" s="46"/>
      <c r="G38" s="16"/>
      <c r="H38" s="14"/>
      <c r="I38" s="14"/>
      <c r="J38" s="1"/>
      <c r="M38" s="106"/>
      <c r="N38" s="107"/>
      <c r="O38" s="107"/>
      <c r="P38" s="94"/>
      <c r="Q38" s="73"/>
    </row>
    <row r="39" spans="5:17" ht="12.75" customHeight="1">
      <c r="E39" s="1"/>
      <c r="F39" s="46"/>
      <c r="G39" s="16"/>
      <c r="H39" s="14"/>
      <c r="I39" s="14"/>
      <c r="J39" s="1"/>
      <c r="M39" s="106"/>
      <c r="N39" s="106"/>
      <c r="O39" s="106"/>
      <c r="P39" s="69"/>
      <c r="Q39" s="73"/>
    </row>
    <row r="40" spans="5:17" ht="12.75" customHeight="1">
      <c r="E40" s="1"/>
      <c r="F40" s="46"/>
      <c r="G40" s="43"/>
      <c r="H40" s="14"/>
      <c r="I40" s="14"/>
      <c r="J40" s="1"/>
      <c r="M40" s="106"/>
      <c r="N40" s="106"/>
      <c r="O40" s="106"/>
      <c r="P40" s="108"/>
      <c r="Q40" s="73"/>
    </row>
    <row r="41" spans="5:17" ht="12.75" customHeight="1">
      <c r="E41" s="1"/>
      <c r="F41" s="5"/>
      <c r="G41" s="2"/>
      <c r="H41" s="17"/>
      <c r="I41" s="17"/>
      <c r="J41" s="1"/>
      <c r="M41" s="104"/>
      <c r="N41" s="104"/>
      <c r="O41" s="104"/>
      <c r="P41" s="104"/>
      <c r="Q41" s="104"/>
    </row>
    <row r="42" spans="1:10" ht="12.75" customHeight="1">
      <c r="A42" s="5"/>
      <c r="B42" s="1"/>
      <c r="C42" s="1"/>
      <c r="D42" s="1"/>
      <c r="E42" s="1"/>
      <c r="J42" s="1"/>
    </row>
    <row r="43" spans="1:10" ht="12.75" customHeight="1">
      <c r="A43" s="5"/>
      <c r="B43" s="1"/>
      <c r="C43" s="1"/>
      <c r="D43" s="1"/>
      <c r="E43" s="1"/>
      <c r="J43" s="1"/>
    </row>
    <row r="44" spans="1:10" ht="12.75" customHeight="1">
      <c r="A44" s="1"/>
      <c r="B44" s="1"/>
      <c r="C44" s="1"/>
      <c r="D44" s="1"/>
      <c r="E44" s="1"/>
      <c r="J44" s="1"/>
    </row>
    <row r="45" spans="1:10" ht="12.75" customHeight="1">
      <c r="A45" s="5"/>
      <c r="B45" s="7"/>
      <c r="C45" s="1"/>
      <c r="D45" s="1"/>
      <c r="E45" s="1"/>
      <c r="J45" s="1"/>
    </row>
  </sheetData>
  <sheetProtection/>
  <mergeCells count="27">
    <mergeCell ref="A15:C15"/>
    <mergeCell ref="E16:G16"/>
    <mergeCell ref="E15:J15"/>
    <mergeCell ref="I27:J27"/>
    <mergeCell ref="E21:G21"/>
    <mergeCell ref="E22:G22"/>
    <mergeCell ref="E23:G23"/>
    <mergeCell ref="I28:J28"/>
    <mergeCell ref="E28:G28"/>
    <mergeCell ref="E17:G17"/>
    <mergeCell ref="E18:G18"/>
    <mergeCell ref="E19:G19"/>
    <mergeCell ref="E24:G24"/>
    <mergeCell ref="E25:G25"/>
    <mergeCell ref="E26:G26"/>
    <mergeCell ref="E27:G27"/>
    <mergeCell ref="E20:G20"/>
    <mergeCell ref="M15:Q15"/>
    <mergeCell ref="M16:O16"/>
    <mergeCell ref="M19:O19"/>
    <mergeCell ref="M23:O23"/>
    <mergeCell ref="M24:O24"/>
    <mergeCell ref="M17:O17"/>
    <mergeCell ref="M18:O18"/>
    <mergeCell ref="M22:O22"/>
    <mergeCell ref="M20:O20"/>
    <mergeCell ref="M21:O21"/>
  </mergeCells>
  <printOptions/>
  <pageMargins left="0.1968503937007874" right="0.1968503937007874" top="0.7874015748031497" bottom="0.1968503937007874" header="0" footer="0"/>
  <pageSetup horizontalDpi="600" verticalDpi="600" orientation="landscape" paperSize="9" r:id="rId9"/>
  <drawing r:id="rId8"/>
  <legacyDrawing r:id="rId7"/>
  <oleObjects>
    <oleObject progId="Equation.DSMT4" shapeId="10967974" r:id="rId2"/>
    <oleObject progId="Equation.DSMT4" shapeId="10967977" r:id="rId3"/>
    <oleObject progId="Equation.DSMT4" shapeId="10967978" r:id="rId4"/>
    <oleObject progId="Equation.DSMT4" shapeId="10967982" r:id="rId5"/>
    <oleObject progId="Equation.DSMT4" shapeId="11460517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B1:T70"/>
  <sheetViews>
    <sheetView showGridLines="0" tabSelected="1" zoomScalePageLayoutView="0" workbookViewId="0" topLeftCell="H34">
      <selection activeCell="N73" sqref="N73"/>
    </sheetView>
  </sheetViews>
  <sheetFormatPr defaultColWidth="11.421875" defaultRowHeight="12.75" customHeight="1"/>
  <cols>
    <col min="1" max="1" width="5.00390625" style="82" customWidth="1"/>
    <col min="2" max="2" width="28.8515625" style="82" customWidth="1"/>
    <col min="3" max="3" width="8.57421875" style="82" customWidth="1"/>
    <col min="4" max="4" width="5.00390625" style="82" customWidth="1"/>
    <col min="5" max="5" width="4.57421875" style="82" customWidth="1"/>
    <col min="6" max="6" width="4.00390625" style="82" customWidth="1"/>
    <col min="7" max="7" width="6.8515625" style="82" customWidth="1"/>
    <col min="8" max="8" width="10.421875" style="82" customWidth="1"/>
    <col min="9" max="9" width="9.7109375" style="82" customWidth="1"/>
    <col min="10" max="10" width="11.8515625" style="82" customWidth="1"/>
    <col min="11" max="11" width="13.8515625" style="82" customWidth="1"/>
    <col min="12" max="12" width="4.421875" style="82" customWidth="1"/>
    <col min="13" max="13" width="6.421875" style="82" customWidth="1"/>
    <col min="14" max="14" width="16.28125" style="82" customWidth="1"/>
    <col min="15" max="15" width="6.7109375" style="82" customWidth="1"/>
    <col min="16" max="16" width="9.00390625" style="82" customWidth="1"/>
    <col min="17" max="17" width="8.8515625" style="82" customWidth="1"/>
    <col min="18" max="18" width="12.57421875" style="82" customWidth="1"/>
    <col min="19" max="19" width="15.421875" style="82" customWidth="1"/>
    <col min="20" max="16384" width="11.421875" style="82" customWidth="1"/>
  </cols>
  <sheetData>
    <row r="1" spans="17:19" ht="12.75" customHeight="1">
      <c r="Q1" s="196">
        <f>K60*SIN(RADIANS(0))</f>
        <v>0</v>
      </c>
      <c r="R1" s="196">
        <f>Q1*K57</f>
        <v>0</v>
      </c>
      <c r="S1" s="196">
        <f>Q1*K47</f>
        <v>0</v>
      </c>
    </row>
    <row r="2" spans="17:19" ht="12.75" customHeight="1">
      <c r="Q2" s="196">
        <f>K60*SIN(RADIANS(30))</f>
        <v>0.45607175030979596</v>
      </c>
      <c r="R2" s="196">
        <f>Q2*K57</f>
        <v>-5.889047021619973</v>
      </c>
      <c r="S2" s="196">
        <f>Q2*K47</f>
        <v>0.4541931878730835</v>
      </c>
    </row>
    <row r="3" spans="17:19" ht="12.75" customHeight="1">
      <c r="Q3" s="196">
        <f>K60*SIN(RADIANS(60))</f>
        <v>0.7899394434334335</v>
      </c>
      <c r="R3" s="196">
        <f>Q3*K57</f>
        <v>-10.200128649607967</v>
      </c>
      <c r="S3" s="196">
        <f>Q3*K47</f>
        <v>0.7866856778478571</v>
      </c>
    </row>
    <row r="4" spans="17:19" ht="12.75" customHeight="1">
      <c r="Q4" s="196">
        <f>K60*SIN(RADIANS(90))</f>
        <v>0.912143500619592</v>
      </c>
      <c r="R4" s="196">
        <f>Q4*K57</f>
        <v>-11.778094043239948</v>
      </c>
      <c r="S4" s="196">
        <f>Q4*K47</f>
        <v>0.9083863757461671</v>
      </c>
    </row>
    <row r="5" spans="17:19" ht="12.75" customHeight="1">
      <c r="Q5" s="196">
        <f>K60*SIN(RADIANS(120))</f>
        <v>0.7899394434334336</v>
      </c>
      <c r="R5" s="196">
        <f>Q5*K57</f>
        <v>-10.200128649607967</v>
      </c>
      <c r="S5" s="196">
        <f>Q5*K47</f>
        <v>0.7866856778478573</v>
      </c>
    </row>
    <row r="6" spans="17:19" ht="12.75" customHeight="1">
      <c r="Q6" s="196">
        <f>K60*SIN(RADIANS(150))</f>
        <v>0.45607175030979596</v>
      </c>
      <c r="R6" s="196">
        <f>Q6*K57</f>
        <v>-5.889047021619973</v>
      </c>
      <c r="S6" s="196">
        <f>Q6*K47</f>
        <v>0.4541931878730835</v>
      </c>
    </row>
    <row r="7" spans="17:19" ht="12.75" customHeight="1">
      <c r="Q7" s="196">
        <f>K60*SIN(RADIANS(180))</f>
        <v>1.117511200439033E-16</v>
      </c>
      <c r="R7" s="196">
        <f>Q7*K57</f>
        <v>-1.4429913718843841E-15</v>
      </c>
      <c r="S7" s="196">
        <f>Q7*K47</f>
        <v>1.1129081647054577E-16</v>
      </c>
    </row>
    <row r="8" spans="17:19" ht="12.75" customHeight="1">
      <c r="Q8" s="196">
        <f>K60*SIN(RADIANS(210))</f>
        <v>-0.45607175030979613</v>
      </c>
      <c r="R8" s="196">
        <f>Q8*K57</f>
        <v>5.889047021619975</v>
      </c>
      <c r="S8" s="196">
        <f>Q8*K47</f>
        <v>-0.45419318787308366</v>
      </c>
    </row>
    <row r="9" spans="17:19" ht="12.75" customHeight="1">
      <c r="Q9" s="196">
        <f>K60*SIN(RADIANS(240))</f>
        <v>-0.7899394434334334</v>
      </c>
      <c r="R9" s="196">
        <f>Q9*K57</f>
        <v>10.200128649607965</v>
      </c>
      <c r="S9" s="196">
        <f>Q9*K47</f>
        <v>-0.786685677847857</v>
      </c>
    </row>
    <row r="10" spans="17:19" ht="12.75" customHeight="1">
      <c r="Q10" s="196">
        <f>K60*SIN(RADIANS(270))</f>
        <v>-0.912143500619592</v>
      </c>
      <c r="R10" s="196">
        <f>Q10*K57</f>
        <v>11.778094043239948</v>
      </c>
      <c r="S10" s="196">
        <f>Q10*K47</f>
        <v>-0.9083863757461671</v>
      </c>
    </row>
    <row r="11" spans="17:19" ht="12.75" customHeight="1">
      <c r="Q11" s="196">
        <f>K60*SIN(RADIANS(300))</f>
        <v>-0.7899394434334335</v>
      </c>
      <c r="R11" s="196">
        <f>Q11*K57</f>
        <v>10.200128649607967</v>
      </c>
      <c r="S11" s="196">
        <f>Q11*K47</f>
        <v>-0.7866856778478571</v>
      </c>
    </row>
    <row r="12" spans="8:19" ht="12.75" customHeight="1">
      <c r="H12" s="194">
        <f>((C19/(C22+C23))+(K29/1000000))</f>
        <v>0.006960267540482332</v>
      </c>
      <c r="Q12" s="196">
        <f>K60*SIN(RADIANS(330))</f>
        <v>-0.4560717503097964</v>
      </c>
      <c r="R12" s="196">
        <f>Q12*K57</f>
        <v>5.889047021619978</v>
      </c>
      <c r="S12" s="196">
        <f>Q12*K47</f>
        <v>-0.45419318787308394</v>
      </c>
    </row>
    <row r="13" spans="17:19" ht="12.75" customHeight="1">
      <c r="Q13" s="196">
        <f>K60*SIN(RADIANS(360))</f>
        <v>-2.235022400878066E-16</v>
      </c>
      <c r="R13" s="196">
        <f>Q13*K57</f>
        <v>2.8859827437687683E-15</v>
      </c>
      <c r="S13" s="196">
        <f>Q13*K47</f>
        <v>-2.2258163294109154E-16</v>
      </c>
    </row>
    <row r="14" spans="17:19" ht="12.75" customHeight="1">
      <c r="Q14" s="196">
        <f>K60*SIN(RADIANS(30))</f>
        <v>0.45607175030979596</v>
      </c>
      <c r="R14" s="196">
        <f>Q14*K57</f>
        <v>-5.889047021619973</v>
      </c>
      <c r="S14" s="196">
        <f>Q14*K47</f>
        <v>0.4541931878730835</v>
      </c>
    </row>
    <row r="15" spans="8:19" ht="12.75" customHeight="1" thickBot="1">
      <c r="H15" s="207" t="s">
        <v>266</v>
      </c>
      <c r="I15" s="208"/>
      <c r="J15" s="208"/>
      <c r="K15" s="208"/>
      <c r="L15" s="208"/>
      <c r="M15" s="208"/>
      <c r="N15" s="209"/>
      <c r="Q15" s="196">
        <f>K60*SIN(RADIANS(60))</f>
        <v>0.7899394434334335</v>
      </c>
      <c r="R15" s="196">
        <f>Q15*K57</f>
        <v>-10.200128649607967</v>
      </c>
      <c r="S15" s="196">
        <f>Q15*K47</f>
        <v>0.7866856778478571</v>
      </c>
    </row>
    <row r="16" spans="8:19" ht="12.75" customHeight="1" thickTop="1">
      <c r="H16" s="257" t="s">
        <v>200</v>
      </c>
      <c r="I16" s="244"/>
      <c r="J16" s="244"/>
      <c r="K16" s="137">
        <f>((C19-C28)/(C20+(C21*(C27+1))))*1000000</f>
        <v>190.67377988539815</v>
      </c>
      <c r="L16" s="154" t="s">
        <v>10</v>
      </c>
      <c r="M16" s="154"/>
      <c r="N16" s="146"/>
      <c r="Q16" s="196">
        <f>K60*SIN(RADIANS(90))</f>
        <v>0.912143500619592</v>
      </c>
      <c r="R16" s="196">
        <f>Q16*K57</f>
        <v>-11.778094043239948</v>
      </c>
      <c r="S16" s="196">
        <f>Q16*K47</f>
        <v>0.9083863757461671</v>
      </c>
    </row>
    <row r="17" spans="8:19" ht="12.75" customHeight="1">
      <c r="H17" s="245" t="s">
        <v>202</v>
      </c>
      <c r="I17" s="246"/>
      <c r="J17" s="246"/>
      <c r="K17" s="168">
        <f>(K16*C27)/1000</f>
        <v>28.601066982809723</v>
      </c>
      <c r="L17" s="145" t="s">
        <v>9</v>
      </c>
      <c r="M17" s="165"/>
      <c r="N17" s="147"/>
      <c r="Q17" s="196">
        <f>K60*SIN(RADIANS(120))</f>
        <v>0.7899394434334336</v>
      </c>
      <c r="R17" s="196">
        <f>Q17*K57</f>
        <v>-10.200128649607967</v>
      </c>
      <c r="S17" s="196">
        <f>Q17*K47</f>
        <v>0.7866856778478573</v>
      </c>
    </row>
    <row r="18" spans="2:19" ht="12.75" customHeight="1" thickBot="1">
      <c r="B18" s="271" t="s">
        <v>254</v>
      </c>
      <c r="C18" s="272"/>
      <c r="D18" s="272"/>
      <c r="E18" s="272"/>
      <c r="F18" s="273"/>
      <c r="H18" s="245" t="s">
        <v>201</v>
      </c>
      <c r="I18" s="246"/>
      <c r="J18" s="246"/>
      <c r="K18" s="168">
        <f>(K16*(C27+1))/1000</f>
        <v>28.79174076269512</v>
      </c>
      <c r="L18" s="145" t="s">
        <v>9</v>
      </c>
      <c r="M18" s="165"/>
      <c r="N18" s="148"/>
      <c r="Q18" s="196">
        <f>K60*SIN(RADIANS(150))</f>
        <v>0.45607175030979596</v>
      </c>
      <c r="R18" s="196">
        <f>Q18*K57</f>
        <v>-5.889047021619973</v>
      </c>
      <c r="S18" s="196">
        <f>Q18*K47</f>
        <v>0.4541931878730835</v>
      </c>
    </row>
    <row r="19" spans="2:19" ht="12.75" customHeight="1" thickTop="1">
      <c r="B19" s="70" t="s">
        <v>5</v>
      </c>
      <c r="C19" s="139">
        <v>20</v>
      </c>
      <c r="D19" s="131" t="s">
        <v>1</v>
      </c>
      <c r="E19" s="131"/>
      <c r="F19" s="132"/>
      <c r="H19" s="247" t="s">
        <v>203</v>
      </c>
      <c r="I19" s="240"/>
      <c r="J19" s="240"/>
      <c r="K19" s="168">
        <f>((C19-C29)/(C21*((C27+1)/C27)))*1000</f>
        <v>89.40397350993379</v>
      </c>
      <c r="L19" s="150" t="s">
        <v>9</v>
      </c>
      <c r="M19" s="150"/>
      <c r="N19" s="149"/>
      <c r="Q19" s="196">
        <f>K60*SIN(RADIANS(180))</f>
        <v>1.117511200439033E-16</v>
      </c>
      <c r="R19" s="196">
        <f>Q19*K57</f>
        <v>-1.4429913718843841E-15</v>
      </c>
      <c r="S19" s="196">
        <f>Q19*K47</f>
        <v>1.1129081647054577E-16</v>
      </c>
    </row>
    <row r="20" spans="2:19" ht="12.75" customHeight="1">
      <c r="B20" s="133" t="s">
        <v>212</v>
      </c>
      <c r="C20" s="140">
        <v>68000</v>
      </c>
      <c r="D20" s="134" t="s">
        <v>2</v>
      </c>
      <c r="E20" s="134">
        <v>250</v>
      </c>
      <c r="F20" s="151" t="s">
        <v>12</v>
      </c>
      <c r="H20" s="237" t="s">
        <v>262</v>
      </c>
      <c r="I20" s="238"/>
      <c r="J20" s="238"/>
      <c r="K20" s="144">
        <f>(K16/1000000)*C20</f>
        <v>12.965817032207076</v>
      </c>
      <c r="L20" s="263" t="str">
        <f>"V → "&amp;FIXED((K20/C19)*100,0)&amp;"%"</f>
        <v>V → 65%</v>
      </c>
      <c r="M20" s="263"/>
      <c r="N20" s="156" t="str">
        <f>FIXED(K20*(K16/1000),1)&amp;"mW → "&amp;FIXED(((K20*(K16/1000))/E20)*100,2)&amp;"%"</f>
        <v>2,5mW → 0,99%</v>
      </c>
      <c r="Q20" s="196">
        <f>K60*SIN(RADIANS(210))</f>
        <v>-0.45607175030979613</v>
      </c>
      <c r="R20" s="196">
        <f>Q20*K57</f>
        <v>5.889047021619975</v>
      </c>
      <c r="S20" s="196">
        <f>Q20*K47</f>
        <v>-0.45419318787308366</v>
      </c>
    </row>
    <row r="21" spans="2:19" ht="12.75" customHeight="1">
      <c r="B21" s="70" t="s">
        <v>250</v>
      </c>
      <c r="C21" s="137">
        <v>220</v>
      </c>
      <c r="D21" s="131" t="s">
        <v>2</v>
      </c>
      <c r="E21" s="131">
        <v>250</v>
      </c>
      <c r="F21" s="152" t="s">
        <v>12</v>
      </c>
      <c r="H21" s="256" t="s">
        <v>277</v>
      </c>
      <c r="I21" s="246"/>
      <c r="J21" s="246"/>
      <c r="K21" s="53">
        <f>C19-K22</f>
        <v>13.665817032207073</v>
      </c>
      <c r="L21" s="158" t="s">
        <v>1</v>
      </c>
      <c r="M21" s="155" t="str">
        <f>IF(K21&gt;0.21,IF(K21&gt;(C19-0.5),"C","A"),"S")</f>
        <v>A</v>
      </c>
      <c r="N21" s="149" t="str">
        <f>FIXED(K21*K17,0)&amp;"mW → "&amp;FIXED(((K21*K17)/(C30*1000))*100,1)&amp;"%"</f>
        <v>391mW → 26,1%</v>
      </c>
      <c r="Q21" s="196">
        <f>K60*SIN(RADIANS(240))</f>
        <v>-0.7899394434334334</v>
      </c>
      <c r="R21" s="196">
        <f>Q21*K57</f>
        <v>10.200128649607965</v>
      </c>
      <c r="S21" s="196">
        <f>Q21*K47</f>
        <v>-0.786685677847857</v>
      </c>
    </row>
    <row r="22" spans="2:19" ht="12.75" customHeight="1">
      <c r="B22" s="70" t="s">
        <v>248</v>
      </c>
      <c r="C22" s="137">
        <v>2200</v>
      </c>
      <c r="D22" s="131" t="s">
        <v>2</v>
      </c>
      <c r="E22" s="131">
        <v>250</v>
      </c>
      <c r="F22" s="152" t="s">
        <v>12</v>
      </c>
      <c r="H22" s="239" t="s">
        <v>263</v>
      </c>
      <c r="I22" s="240"/>
      <c r="J22" s="240"/>
      <c r="K22" s="52">
        <f>(K18/1000)*C21</f>
        <v>6.334182967792926</v>
      </c>
      <c r="L22" s="264" t="str">
        <f>"V → "&amp;FIXED((K22/C19)*100,0)&amp;"%"</f>
        <v>V → 32%</v>
      </c>
      <c r="M22" s="264"/>
      <c r="N22" s="157" t="str">
        <f>FIXED(K22*K18,0)&amp;"mW → "&amp;FIXED(((K22*K18)/E21)*100,1)&amp;"%"</f>
        <v>182mW → 72,9%</v>
      </c>
      <c r="Q22" s="196">
        <f>K60*SIN(RADIANS(270))</f>
        <v>-0.912143500619592</v>
      </c>
      <c r="R22" s="196">
        <f>Q22*K57</f>
        <v>11.778094043239948</v>
      </c>
      <c r="S22" s="196">
        <f>Q22*K47</f>
        <v>-0.9083863757461671</v>
      </c>
    </row>
    <row r="23" spans="2:19" ht="12.75" customHeight="1">
      <c r="B23" s="70" t="s">
        <v>249</v>
      </c>
      <c r="C23" s="137">
        <v>680</v>
      </c>
      <c r="D23" s="131" t="s">
        <v>2</v>
      </c>
      <c r="E23" s="131">
        <v>250</v>
      </c>
      <c r="F23" s="152" t="s">
        <v>12</v>
      </c>
      <c r="H23" s="235" t="s">
        <v>265</v>
      </c>
      <c r="I23" s="236"/>
      <c r="J23" s="236"/>
      <c r="K23" s="111">
        <f>(K20*(K16/1000))+(K21*K17)+(K22*K18)</f>
        <v>575.7013436079826</v>
      </c>
      <c r="L23" s="160" t="s">
        <v>12</v>
      </c>
      <c r="M23" s="161"/>
      <c r="N23" s="162"/>
      <c r="Q23" s="196">
        <f>K60*SIN(RADIANS(300))</f>
        <v>-0.7899394434334335</v>
      </c>
      <c r="R23" s="196">
        <f>Q23*K57</f>
        <v>10.200128649607967</v>
      </c>
      <c r="S23" s="196">
        <f>Q23*K47</f>
        <v>-0.7866856778478571</v>
      </c>
    </row>
    <row r="24" spans="2:19" ht="12.75" customHeight="1">
      <c r="B24" s="70" t="s">
        <v>251</v>
      </c>
      <c r="C24" s="138">
        <v>3300</v>
      </c>
      <c r="D24" s="131" t="s">
        <v>2</v>
      </c>
      <c r="E24" s="131">
        <v>10</v>
      </c>
      <c r="F24" s="152" t="s">
        <v>205</v>
      </c>
      <c r="H24" s="237" t="s">
        <v>210</v>
      </c>
      <c r="I24" s="238"/>
      <c r="J24" s="238"/>
      <c r="K24" s="102" t="str">
        <f>"("&amp;FIXED(C19,1)&amp;"V;"&amp;FIXED(K19,1)&amp;"mA)"</f>
        <v>(20,0V;89,4mA)</v>
      </c>
      <c r="L24" s="265" t="s">
        <v>211</v>
      </c>
      <c r="M24" s="265"/>
      <c r="N24" s="84"/>
      <c r="Q24" s="196">
        <f>K60*SIN(RADIANS(330))</f>
        <v>-0.4560717503097964</v>
      </c>
      <c r="R24" s="196">
        <f>Q24*K57</f>
        <v>5.889047021619978</v>
      </c>
      <c r="S24" s="196">
        <f>Q24*K47</f>
        <v>-0.45419318787308394</v>
      </c>
    </row>
    <row r="25" spans="2:19" ht="12.75" customHeight="1">
      <c r="B25" s="70" t="s">
        <v>253</v>
      </c>
      <c r="C25" s="138">
        <v>180</v>
      </c>
      <c r="D25" s="131" t="s">
        <v>2</v>
      </c>
      <c r="E25" s="131">
        <v>10</v>
      </c>
      <c r="F25" s="152" t="s">
        <v>205</v>
      </c>
      <c r="H25" s="239" t="s">
        <v>264</v>
      </c>
      <c r="I25" s="240"/>
      <c r="J25" s="240"/>
      <c r="K25" s="102" t="str">
        <f>"("&amp;FIXED(K21,1)&amp;"V;"&amp;FIXED(K17,1)&amp;"mA)"</f>
        <v>(13,7V;28,6mA)</v>
      </c>
      <c r="L25" s="266" t="s">
        <v>15</v>
      </c>
      <c r="M25" s="266"/>
      <c r="N25" s="84"/>
      <c r="O25" s="159"/>
      <c r="Q25" s="196">
        <f>K60*SIN(RADIANS(360))</f>
        <v>-2.235022400878066E-16</v>
      </c>
      <c r="R25" s="196">
        <f>Q25*K57</f>
        <v>2.8859827437687683E-15</v>
      </c>
      <c r="S25" s="196">
        <f>Q25*K47</f>
        <v>-2.2258163294109154E-16</v>
      </c>
    </row>
    <row r="26" spans="2:15" ht="12.75" customHeight="1" thickBot="1">
      <c r="B26" s="70" t="s">
        <v>252</v>
      </c>
      <c r="C26" s="138">
        <v>1500</v>
      </c>
      <c r="D26" s="131" t="s">
        <v>2</v>
      </c>
      <c r="E26" s="131">
        <v>10</v>
      </c>
      <c r="F26" s="152" t="s">
        <v>205</v>
      </c>
      <c r="H26" s="274" t="s">
        <v>267</v>
      </c>
      <c r="I26" s="275"/>
      <c r="J26" s="275"/>
      <c r="K26" s="275"/>
      <c r="L26" s="275"/>
      <c r="M26" s="275"/>
      <c r="N26" s="276"/>
      <c r="O26" s="159"/>
    </row>
    <row r="27" spans="2:15" ht="12.75" customHeight="1" thickTop="1">
      <c r="B27" s="133" t="s">
        <v>260</v>
      </c>
      <c r="C27" s="118">
        <v>150</v>
      </c>
      <c r="D27" s="134"/>
      <c r="E27" s="134"/>
      <c r="F27" s="151" t="s">
        <v>256</v>
      </c>
      <c r="H27" s="277" t="s">
        <v>268</v>
      </c>
      <c r="I27" s="278"/>
      <c r="J27" s="278"/>
      <c r="K27" s="168">
        <f>C19*(C23/(C22+C23))</f>
        <v>4.722222222222222</v>
      </c>
      <c r="L27" s="262" t="s">
        <v>1</v>
      </c>
      <c r="M27" s="262"/>
      <c r="N27" s="163"/>
      <c r="O27" s="159"/>
    </row>
    <row r="28" spans="2:14" ht="12.75" customHeight="1">
      <c r="B28" s="70" t="s">
        <v>261</v>
      </c>
      <c r="C28" s="141">
        <v>0.7</v>
      </c>
      <c r="D28" s="131" t="s">
        <v>1</v>
      </c>
      <c r="E28" s="131"/>
      <c r="F28" s="152" t="s">
        <v>256</v>
      </c>
      <c r="H28" s="214" t="s">
        <v>276</v>
      </c>
      <c r="I28" s="260"/>
      <c r="J28" s="260"/>
      <c r="K28" s="169">
        <f>(C22*C23)/(C22+C23)</f>
        <v>519.4444444444445</v>
      </c>
      <c r="L28" s="44" t="s">
        <v>2</v>
      </c>
      <c r="M28" s="55"/>
      <c r="N28" s="164"/>
    </row>
    <row r="29" spans="2:14" ht="12.75" customHeight="1">
      <c r="B29" s="70" t="s">
        <v>259</v>
      </c>
      <c r="C29" s="141">
        <v>0.2</v>
      </c>
      <c r="D29" s="131" t="s">
        <v>1</v>
      </c>
      <c r="E29" s="131"/>
      <c r="F29" s="152" t="s">
        <v>256</v>
      </c>
      <c r="H29" s="279" t="s">
        <v>200</v>
      </c>
      <c r="I29" s="261"/>
      <c r="J29" s="261"/>
      <c r="K29" s="137">
        <f>((K27-C32)/(K28+((C25+C26)*(C31+1))))*1000000</f>
        <v>15.82309603788801</v>
      </c>
      <c r="L29" s="54" t="s">
        <v>10</v>
      </c>
      <c r="M29" s="44"/>
      <c r="N29" s="163"/>
    </row>
    <row r="30" spans="2:14" ht="12.75" customHeight="1">
      <c r="B30" s="70" t="s">
        <v>258</v>
      </c>
      <c r="C30" s="138">
        <v>1.5</v>
      </c>
      <c r="D30" s="131" t="s">
        <v>205</v>
      </c>
      <c r="E30" s="131"/>
      <c r="F30" s="152" t="s">
        <v>256</v>
      </c>
      <c r="H30" s="259" t="s">
        <v>202</v>
      </c>
      <c r="I30" s="255"/>
      <c r="J30" s="255"/>
      <c r="K30" s="168">
        <f>(K29*C31)/1000</f>
        <v>2.3734644056832015</v>
      </c>
      <c r="L30" s="44" t="s">
        <v>9</v>
      </c>
      <c r="M30" s="44"/>
      <c r="N30" s="163"/>
    </row>
    <row r="31" spans="2:14" ht="12.75" customHeight="1">
      <c r="B31" s="133" t="s">
        <v>260</v>
      </c>
      <c r="C31" s="118">
        <v>150</v>
      </c>
      <c r="D31" s="134"/>
      <c r="E31" s="134"/>
      <c r="F31" s="151" t="s">
        <v>257</v>
      </c>
      <c r="H31" s="200" t="s">
        <v>201</v>
      </c>
      <c r="I31" s="255"/>
      <c r="J31" s="255"/>
      <c r="K31" s="168">
        <f>(K29*(C31+1))/1000</f>
        <v>2.3892875017210895</v>
      </c>
      <c r="L31" s="44" t="s">
        <v>9</v>
      </c>
      <c r="M31" s="44"/>
      <c r="N31" s="167"/>
    </row>
    <row r="32" spans="2:14" ht="12.75" customHeight="1">
      <c r="B32" s="70" t="s">
        <v>261</v>
      </c>
      <c r="C32" s="141">
        <v>0.7</v>
      </c>
      <c r="D32" s="131" t="s">
        <v>1</v>
      </c>
      <c r="E32" s="131"/>
      <c r="F32" s="152" t="s">
        <v>257</v>
      </c>
      <c r="H32" s="214" t="s">
        <v>203</v>
      </c>
      <c r="I32" s="260"/>
      <c r="J32" s="260"/>
      <c r="K32" s="169">
        <f>((C19-C33)/(C24+((C25+C26)*((C27+1)/C27))))*1000</f>
        <v>3.9669818881230974</v>
      </c>
      <c r="L32" s="55" t="s">
        <v>9</v>
      </c>
      <c r="M32" s="55"/>
      <c r="N32" s="164"/>
    </row>
    <row r="33" spans="2:14" ht="12.75" customHeight="1">
      <c r="B33" s="70" t="s">
        <v>259</v>
      </c>
      <c r="C33" s="141">
        <v>0.2</v>
      </c>
      <c r="D33" s="131" t="s">
        <v>1</v>
      </c>
      <c r="E33" s="131"/>
      <c r="F33" s="152" t="s">
        <v>257</v>
      </c>
      <c r="H33" s="202" t="s">
        <v>269</v>
      </c>
      <c r="I33" s="261"/>
      <c r="J33" s="261"/>
      <c r="K33" s="89">
        <f>C24*(K30/1000)</f>
        <v>7.832432538754565</v>
      </c>
      <c r="L33" s="258" t="str">
        <f>"V → "&amp;FIXED((K33/C19)*100,0)&amp;"%"</f>
        <v>V → 39%</v>
      </c>
      <c r="M33" s="258"/>
      <c r="N33" s="170" t="str">
        <f>FIXED((K33*K30)/1000,1)&amp;"W → "&amp;FIXED(((K33*K30)/(E24*1000))*100,1)&amp;"%"</f>
        <v>0,0W → 0,2%</v>
      </c>
    </row>
    <row r="34" spans="2:14" ht="12.75" customHeight="1">
      <c r="B34" s="70" t="s">
        <v>258</v>
      </c>
      <c r="C34" s="138">
        <v>2</v>
      </c>
      <c r="D34" s="131" t="s">
        <v>205</v>
      </c>
      <c r="E34" s="131"/>
      <c r="F34" s="152" t="s">
        <v>257</v>
      </c>
      <c r="H34" s="200" t="s">
        <v>277</v>
      </c>
      <c r="I34" s="255"/>
      <c r="J34" s="255"/>
      <c r="K34" s="89">
        <f>C19-(C24*(K30/1000))-((C25+C26)*(K31/1000))</f>
        <v>8.153564458354005</v>
      </c>
      <c r="L34" s="171" t="s">
        <v>1</v>
      </c>
      <c r="M34" s="153" t="str">
        <f>IF(K21&gt;0.21,IF(K21&gt;(C19-0.5),"C","A"),"S")</f>
        <v>A</v>
      </c>
      <c r="N34" s="170" t="str">
        <f>FIXED((K34*K30)/1000,1)&amp;"W → "&amp;FIXED(((K34*K30)/(C34*1000))*100,1)&amp;"%"</f>
        <v>0,0W → 1,0%</v>
      </c>
    </row>
    <row r="35" spans="2:14" ht="12.75" customHeight="1">
      <c r="B35" s="133" t="s">
        <v>219</v>
      </c>
      <c r="C35" s="142">
        <v>26</v>
      </c>
      <c r="D35" s="134" t="s">
        <v>218</v>
      </c>
      <c r="E35" s="134"/>
      <c r="F35" s="135"/>
      <c r="G35" s="188"/>
      <c r="H35" s="200" t="s">
        <v>270</v>
      </c>
      <c r="I35" s="255"/>
      <c r="J35" s="255"/>
      <c r="K35" s="89">
        <f>C25*(K31/1000)</f>
        <v>0.4300717503097961</v>
      </c>
      <c r="L35" s="294" t="str">
        <f>"V → "&amp;FIXED((K35/C19)*100,0)&amp;"%"</f>
        <v>V → 2%</v>
      </c>
      <c r="M35" s="294"/>
      <c r="N35" s="170" t="str">
        <f>FIXED((K35*K31)/1000,1)&amp;"W → "&amp;FIXED(((K35*K31)/(E25*1000))*100,1)&amp;"%"</f>
        <v>0,0W → 0,0%</v>
      </c>
    </row>
    <row r="36" spans="2:14" ht="12.75" customHeight="1">
      <c r="B36" s="70" t="s">
        <v>255</v>
      </c>
      <c r="C36" s="138">
        <v>10000</v>
      </c>
      <c r="D36" s="131" t="s">
        <v>2</v>
      </c>
      <c r="E36" s="267"/>
      <c r="F36" s="268"/>
      <c r="H36" s="269" t="s">
        <v>271</v>
      </c>
      <c r="I36" s="270"/>
      <c r="J36" s="270"/>
      <c r="K36" s="172">
        <f>C26*(K31/1000)</f>
        <v>3.5839312525816345</v>
      </c>
      <c r="L36" s="295" t="str">
        <f>"V → "&amp;FIXED((K36/C19)*100,0)&amp;"%"</f>
        <v>V → 18%</v>
      </c>
      <c r="M36" s="295"/>
      <c r="N36" s="173" t="str">
        <f>FIXED((K36*K31)/1000,1)&amp;"W → "&amp;FIXED(((K36*K31)/(E26*1000))*100,1)&amp;"%"</f>
        <v>0,0W → 0,1%</v>
      </c>
    </row>
    <row r="37" spans="2:14" ht="12.75" customHeight="1">
      <c r="B37" s="70" t="s">
        <v>244</v>
      </c>
      <c r="C37" s="106">
        <v>1000</v>
      </c>
      <c r="D37" s="131" t="s">
        <v>239</v>
      </c>
      <c r="E37" s="131"/>
      <c r="F37" s="72"/>
      <c r="H37" s="289" t="s">
        <v>272</v>
      </c>
      <c r="I37" s="290"/>
      <c r="J37" s="290"/>
      <c r="K37" s="177">
        <f>((K33*K30)/1000)+((K34*K30)/1000)+((K35*K31)/1000)+((K36*K31)/1000)</f>
        <v>0.047532802068675155</v>
      </c>
      <c r="L37" s="175" t="s">
        <v>205</v>
      </c>
      <c r="M37" s="296" t="str">
        <f>"Potencia TOTAL = "&amp;FIXED((K23/1000)+K37,2)&amp;"W"</f>
        <v>Potencia TOTAL = 0,62W</v>
      </c>
      <c r="N37" s="297"/>
    </row>
    <row r="38" spans="2:14" ht="12.75" customHeight="1">
      <c r="B38" s="74" t="s">
        <v>279</v>
      </c>
      <c r="C38" s="143">
        <v>75</v>
      </c>
      <c r="D38" s="181" t="s">
        <v>2</v>
      </c>
      <c r="E38" s="136"/>
      <c r="F38" s="76"/>
      <c r="H38" s="259" t="s">
        <v>275</v>
      </c>
      <c r="I38" s="255"/>
      <c r="J38" s="255"/>
      <c r="K38" s="159" t="str">
        <f>"("&amp;FIXED(C19,1)&amp;"V;"&amp;FIXED(K32,1)&amp;"mA)"</f>
        <v>(20,0V;4,0mA)</v>
      </c>
      <c r="L38" s="166"/>
      <c r="M38" s="166"/>
      <c r="N38" s="174"/>
    </row>
    <row r="39" spans="5:14" ht="12.75" customHeight="1">
      <c r="E39" s="73"/>
      <c r="H39" s="259" t="s">
        <v>273</v>
      </c>
      <c r="I39" s="255"/>
      <c r="J39" s="255"/>
      <c r="K39" s="159" t="str">
        <f>"("&amp;FIXED(K34,1)&amp;"V;"&amp;FIXED(K30,1)&amp;"mA)"</f>
        <v>(8,2V;2,4mA)</v>
      </c>
      <c r="L39" s="166"/>
      <c r="M39" s="166"/>
      <c r="N39" s="174"/>
    </row>
    <row r="40" spans="2:14" ht="12.75" customHeight="1">
      <c r="B40" s="159" t="s">
        <v>0</v>
      </c>
      <c r="C40" s="288">
        <f ca="1">NOW()</f>
        <v>41082.51418090278</v>
      </c>
      <c r="D40" s="218"/>
      <c r="H40" s="289" t="s">
        <v>274</v>
      </c>
      <c r="I40" s="290"/>
      <c r="J40" s="290"/>
      <c r="K40" s="178">
        <f>H12/(K29/1000000)</f>
        <v>439.88025629220374</v>
      </c>
      <c r="L40" s="175"/>
      <c r="M40" s="179" t="str">
        <f>IF(K40&lt;10,"Escasa","Ok")</f>
        <v>Ok</v>
      </c>
      <c r="N40" s="176"/>
    </row>
    <row r="42" spans="8:13" ht="12.75" customHeight="1" thickBot="1">
      <c r="H42" s="291" t="s">
        <v>278</v>
      </c>
      <c r="I42" s="292"/>
      <c r="J42" s="292"/>
      <c r="K42" s="292"/>
      <c r="L42" s="292"/>
      <c r="M42" s="293"/>
    </row>
    <row r="43" spans="8:13" ht="12.75" customHeight="1" thickTop="1">
      <c r="H43" s="298" t="s">
        <v>220</v>
      </c>
      <c r="I43" s="299"/>
      <c r="J43" s="299"/>
      <c r="K43" s="89">
        <f>C35/K18</f>
        <v>0.9030367498198538</v>
      </c>
      <c r="L43" s="145" t="s">
        <v>2</v>
      </c>
      <c r="M43" s="185"/>
    </row>
    <row r="44" spans="8:18" ht="12.75" customHeight="1">
      <c r="H44" s="245" t="s">
        <v>280</v>
      </c>
      <c r="I44" s="246"/>
      <c r="J44" s="246"/>
      <c r="K44" s="109">
        <f>(C27+1)*(K43+B55)</f>
        <v>33104.71933133046</v>
      </c>
      <c r="L44" s="145" t="s">
        <v>2</v>
      </c>
      <c r="M44" s="186"/>
      <c r="N44" s="180"/>
      <c r="R44" s="184"/>
    </row>
    <row r="45" spans="8:13" ht="12.75" customHeight="1">
      <c r="H45" s="245" t="s">
        <v>282</v>
      </c>
      <c r="I45" s="246"/>
      <c r="J45" s="246"/>
      <c r="K45" s="109">
        <f>1/((1/C20)+(1/K44))</f>
        <v>22265.24072682818</v>
      </c>
      <c r="L45" s="145" t="s">
        <v>2</v>
      </c>
      <c r="M45" s="186"/>
    </row>
    <row r="46" spans="8:13" ht="12.75" customHeight="1">
      <c r="H46" s="247" t="s">
        <v>281</v>
      </c>
      <c r="I46" s="240"/>
      <c r="J46" s="240"/>
      <c r="K46" s="52">
        <f>(C21*Q55)/(C21+Q55)</f>
        <v>1.3903358777255206</v>
      </c>
      <c r="L46" s="145" t="s">
        <v>2</v>
      </c>
      <c r="M46" s="186"/>
    </row>
    <row r="47" spans="8:13" ht="12.75" customHeight="1">
      <c r="H47" s="235" t="s">
        <v>225</v>
      </c>
      <c r="I47" s="236"/>
      <c r="J47" s="236"/>
      <c r="K47" s="187">
        <f>B55/(K43+B55)</f>
        <v>0.9958809936475206</v>
      </c>
      <c r="L47" s="305"/>
      <c r="M47" s="306"/>
    </row>
    <row r="48" spans="8:14" ht="12.75" customHeight="1">
      <c r="H48" s="235" t="s">
        <v>210</v>
      </c>
      <c r="I48" s="236"/>
      <c r="J48" s="236"/>
      <c r="K48" s="92" t="str">
        <f>"("&amp;FIXED(K21+((K17/1000)*B55),1)&amp;"V;"&amp;FIXED(K17+((K21/B55)*1000),0)&amp;"mA)"</f>
        <v>(19,9V;91mA)</v>
      </c>
      <c r="L48" s="286" t="s">
        <v>226</v>
      </c>
      <c r="M48" s="287"/>
      <c r="N48" s="180"/>
    </row>
    <row r="49" spans="8:14" ht="12.75" customHeight="1">
      <c r="H49" s="237" t="s">
        <v>240</v>
      </c>
      <c r="I49" s="238"/>
      <c r="J49" s="238"/>
      <c r="K49" s="120">
        <f>((1/(2*PI()*K45*C37))*1000000)*10</f>
        <v>0.07148134845904626</v>
      </c>
      <c r="L49" s="145" t="s">
        <v>246</v>
      </c>
      <c r="M49" s="186"/>
      <c r="N49" s="180"/>
    </row>
    <row r="50" spans="8:13" ht="12.75" customHeight="1">
      <c r="H50" s="239" t="s">
        <v>241</v>
      </c>
      <c r="I50" s="304"/>
      <c r="J50" s="304"/>
      <c r="K50" s="90">
        <f>((1/(2*PI()*K55*C37))*1000000)*10</f>
        <v>3.119163142556171</v>
      </c>
      <c r="L50" s="150" t="s">
        <v>246</v>
      </c>
      <c r="M50" s="195"/>
    </row>
    <row r="52" spans="8:13" ht="12.75" customHeight="1" thickBot="1">
      <c r="H52" s="274" t="s">
        <v>229</v>
      </c>
      <c r="I52" s="275"/>
      <c r="J52" s="275"/>
      <c r="K52" s="275"/>
      <c r="L52" s="275"/>
      <c r="M52" s="276"/>
    </row>
    <row r="53" spans="8:13" ht="12.75" customHeight="1" thickTop="1">
      <c r="H53" s="307" t="s">
        <v>230</v>
      </c>
      <c r="I53" s="278"/>
      <c r="J53" s="278"/>
      <c r="K53" s="89">
        <f>(C35/1000)/(K29/1000000)</f>
        <v>1643.1676795580108</v>
      </c>
      <c r="L53" s="44" t="s">
        <v>2</v>
      </c>
      <c r="M53" s="190"/>
    </row>
    <row r="54" spans="8:18" ht="12.75" customHeight="1">
      <c r="H54" s="259" t="s">
        <v>280</v>
      </c>
      <c r="I54" s="255"/>
      <c r="J54" s="255"/>
      <c r="K54" s="109">
        <f>K53+(C25*(C31+1))</f>
        <v>28823.16767955801</v>
      </c>
      <c r="L54" s="44" t="s">
        <v>2</v>
      </c>
      <c r="M54" s="163"/>
      <c r="R54" s="182">
        <f>((C20*C38)/(C20+C38))/(C27+1)</f>
        <v>0.4961415268025868</v>
      </c>
    </row>
    <row r="55" spans="2:19" ht="12.75" customHeight="1">
      <c r="B55" s="184">
        <f>(C21*K54)/(C21+K54)</f>
        <v>218.33351511329576</v>
      </c>
      <c r="H55" s="259" t="s">
        <v>282</v>
      </c>
      <c r="I55" s="255"/>
      <c r="J55" s="255"/>
      <c r="K55" s="89">
        <f>1/((1/C22)+(1/C23)+(1/K54))</f>
        <v>510.24885784418126</v>
      </c>
      <c r="L55" s="44" t="s">
        <v>2</v>
      </c>
      <c r="M55" s="163"/>
      <c r="Q55" s="302">
        <f>K43+R54</f>
        <v>1.3991782766224405</v>
      </c>
      <c r="R55" s="303"/>
      <c r="S55" s="183"/>
    </row>
    <row r="56" spans="3:13" ht="12.75" customHeight="1">
      <c r="C56" s="182">
        <f>1/((1/C24)+(1/C36))</f>
        <v>2481.203007518797</v>
      </c>
      <c r="D56" s="182"/>
      <c r="E56" s="182"/>
      <c r="H56" s="280" t="s">
        <v>281</v>
      </c>
      <c r="I56" s="281"/>
      <c r="J56" s="281"/>
      <c r="K56" s="75">
        <f>C24</f>
        <v>3300</v>
      </c>
      <c r="L56" s="55" t="s">
        <v>2</v>
      </c>
      <c r="M56" s="163"/>
    </row>
    <row r="57" spans="8:13" ht="12.75" customHeight="1">
      <c r="H57" s="216" t="s">
        <v>225</v>
      </c>
      <c r="I57" s="308"/>
      <c r="J57" s="308"/>
      <c r="K57" s="113">
        <f>-(C31*C56)/(K53+Q61)</f>
        <v>-12.912545049369356</v>
      </c>
      <c r="L57" s="282"/>
      <c r="M57" s="283"/>
    </row>
    <row r="58" spans="3:13" ht="12.75" customHeight="1">
      <c r="C58" s="89"/>
      <c r="H58" s="216" t="s">
        <v>210</v>
      </c>
      <c r="I58" s="217"/>
      <c r="J58" s="217"/>
      <c r="K58" s="92" t="str">
        <f>"("&amp;FIXED(K34+((K30/1000)*C56),1)&amp;"V;"&amp;FIXED(K30+((K34/C56)*1000),0)&amp;"mA)"</f>
        <v>(14,0V;6mA)</v>
      </c>
      <c r="L58" s="284" t="s">
        <v>226</v>
      </c>
      <c r="M58" s="285"/>
    </row>
    <row r="59" spans="8:13" ht="12.75" customHeight="1">
      <c r="H59" s="202" t="s">
        <v>283</v>
      </c>
      <c r="I59" s="261"/>
      <c r="J59" s="261"/>
      <c r="K59" s="114">
        <f>IF(K34*2&lt;(K30/1000)*C56*2,K34*2,(K30/1000)*C56*2)</f>
        <v>11.778094043239948</v>
      </c>
      <c r="L59" s="44" t="s">
        <v>228</v>
      </c>
      <c r="M59" s="163"/>
    </row>
    <row r="60" spans="8:13" ht="12.75" customHeight="1">
      <c r="H60" s="214" t="s">
        <v>284</v>
      </c>
      <c r="I60" s="260"/>
      <c r="J60" s="260"/>
      <c r="K60" s="52">
        <f>K59/ABS(K57)</f>
        <v>0.912143500619592</v>
      </c>
      <c r="L60" s="55" t="s">
        <v>228</v>
      </c>
      <c r="M60" s="164"/>
    </row>
    <row r="61" spans="8:18" ht="12.75" customHeight="1">
      <c r="H61" s="200" t="s">
        <v>285</v>
      </c>
      <c r="I61" s="255"/>
      <c r="J61" s="255"/>
      <c r="K61" s="68">
        <f>((1/(2*PI()*C36*C37))*1000000)*10</f>
        <v>0.15915494309189535</v>
      </c>
      <c r="L61" s="44" t="s">
        <v>246</v>
      </c>
      <c r="M61" s="163"/>
      <c r="Q61" s="300">
        <f>C25*(C31+1)</f>
        <v>27180</v>
      </c>
      <c r="R61" s="301"/>
    </row>
    <row r="62" spans="8:13" ht="12.75" customHeight="1">
      <c r="H62" s="214" t="s">
        <v>287</v>
      </c>
      <c r="I62" s="253"/>
      <c r="J62" s="253"/>
      <c r="K62" s="90">
        <f>((1/(2*PI()*C36*C26))*1000000)*10</f>
        <v>0.10610329539459688</v>
      </c>
      <c r="L62" s="55" t="s">
        <v>246</v>
      </c>
      <c r="M62" s="164"/>
    </row>
    <row r="63" spans="8:13" ht="12.75" customHeight="1">
      <c r="H63" s="214" t="s">
        <v>286</v>
      </c>
      <c r="I63" s="260"/>
      <c r="J63" s="260"/>
      <c r="K63" s="90">
        <f>(POWER(K59,2)/(8*C36))*1000</f>
        <v>1.7340437411425544</v>
      </c>
      <c r="L63" s="55" t="s">
        <v>12</v>
      </c>
      <c r="M63" s="164"/>
    </row>
    <row r="70" spans="19:20" ht="12.75" customHeight="1">
      <c r="S70" s="193">
        <f>K34*2</f>
        <v>16.30712891670801</v>
      </c>
      <c r="T70" s="184">
        <f>(K30/1000)*C56*2</f>
        <v>11.778094043239948</v>
      </c>
    </row>
  </sheetData>
  <sheetProtection/>
  <mergeCells count="65">
    <mergeCell ref="H63:J63"/>
    <mergeCell ref="H57:J57"/>
    <mergeCell ref="H62:J62"/>
    <mergeCell ref="H61:J61"/>
    <mergeCell ref="Q61:R61"/>
    <mergeCell ref="H59:J59"/>
    <mergeCell ref="H60:J60"/>
    <mergeCell ref="H58:J58"/>
    <mergeCell ref="Q55:R55"/>
    <mergeCell ref="H49:J49"/>
    <mergeCell ref="H50:J50"/>
    <mergeCell ref="H55:J55"/>
    <mergeCell ref="H53:J53"/>
    <mergeCell ref="H52:M52"/>
    <mergeCell ref="H39:J39"/>
    <mergeCell ref="H47:J47"/>
    <mergeCell ref="H48:J48"/>
    <mergeCell ref="H43:J43"/>
    <mergeCell ref="H45:J45"/>
    <mergeCell ref="H44:J44"/>
    <mergeCell ref="L35:M35"/>
    <mergeCell ref="H35:J35"/>
    <mergeCell ref="H37:J37"/>
    <mergeCell ref="L36:M36"/>
    <mergeCell ref="M37:N37"/>
    <mergeCell ref="H38:J38"/>
    <mergeCell ref="H56:J56"/>
    <mergeCell ref="L57:M57"/>
    <mergeCell ref="L58:M58"/>
    <mergeCell ref="L48:M48"/>
    <mergeCell ref="H54:J54"/>
    <mergeCell ref="C40:D40"/>
    <mergeCell ref="H40:J40"/>
    <mergeCell ref="H42:M42"/>
    <mergeCell ref="H46:J46"/>
    <mergeCell ref="L47:M47"/>
    <mergeCell ref="E36:F36"/>
    <mergeCell ref="H36:J36"/>
    <mergeCell ref="B18:F18"/>
    <mergeCell ref="H23:J23"/>
    <mergeCell ref="H24:J24"/>
    <mergeCell ref="H25:J25"/>
    <mergeCell ref="H26:N26"/>
    <mergeCell ref="H27:J27"/>
    <mergeCell ref="H28:J28"/>
    <mergeCell ref="H29:J29"/>
    <mergeCell ref="H30:J30"/>
    <mergeCell ref="H31:J31"/>
    <mergeCell ref="H32:J32"/>
    <mergeCell ref="H33:J33"/>
    <mergeCell ref="L27:M27"/>
    <mergeCell ref="L20:M20"/>
    <mergeCell ref="L22:M22"/>
    <mergeCell ref="L24:M24"/>
    <mergeCell ref="L25:M25"/>
    <mergeCell ref="H34:J34"/>
    <mergeCell ref="H15:N15"/>
    <mergeCell ref="H20:J20"/>
    <mergeCell ref="H21:J21"/>
    <mergeCell ref="H19:J19"/>
    <mergeCell ref="H18:J18"/>
    <mergeCell ref="H17:J17"/>
    <mergeCell ref="H16:J16"/>
    <mergeCell ref="L33:M33"/>
    <mergeCell ref="H22:J22"/>
  </mergeCells>
  <printOptions/>
  <pageMargins left="0.1968503937007874" right="0.1968503937007874" top="0.7874015748031497" bottom="0.1968503937007874" header="0" footer="0"/>
  <pageSetup horizontalDpi="600" verticalDpi="600" orientation="landscape" paperSize="9" r:id="rId20"/>
  <drawing r:id="rId19"/>
  <legacyDrawing r:id="rId18"/>
  <oleObjects>
    <oleObject progId="Equation.DSMT4" shapeId="28138" r:id="rId2"/>
    <oleObject progId="Equation.DSMT4" shapeId="28139" r:id="rId3"/>
    <oleObject progId="Equation.DSMT4" shapeId="28142" r:id="rId4"/>
    <oleObject progId="Equation.DSMT4" shapeId="28143" r:id="rId5"/>
    <oleObject progId="Equation.DSMT4" shapeId="28145" r:id="rId6"/>
    <oleObject progId="Equation.DSMT4" shapeId="29703" r:id="rId7"/>
    <oleObject progId="Equation.DSMT4" shapeId="29704" r:id="rId8"/>
    <oleObject progId="Equation.DSMT4" shapeId="29705" r:id="rId9"/>
    <oleObject progId="Equation.DSMT4" shapeId="29706" r:id="rId10"/>
    <oleObject progId="Equation.DSMT4" shapeId="29707" r:id="rId11"/>
    <oleObject progId="Equation.DSMT4" shapeId="29708" r:id="rId12"/>
    <oleObject progId="Equation.DSMT4" shapeId="29709" r:id="rId13"/>
    <oleObject progId="Equation.DSMT4" shapeId="76961" r:id="rId14"/>
    <oleObject progId="Equation.DSMT4" shapeId="175497" r:id="rId15"/>
    <oleObject progId="Equation.DSMT4" shapeId="1448970" r:id="rId16"/>
    <oleObject progId="Equation.DSMT4" shapeId="6382799" r:id="rId17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6"/>
  </sheetPr>
  <dimension ref="A1:N55"/>
  <sheetViews>
    <sheetView showGridLines="0" zoomScalePageLayoutView="0" workbookViewId="0" topLeftCell="A1">
      <selection activeCell="C1" sqref="C1"/>
    </sheetView>
  </sheetViews>
  <sheetFormatPr defaultColWidth="11.421875" defaultRowHeight="12.75"/>
  <cols>
    <col min="1" max="1" width="2.140625" style="15" customWidth="1"/>
    <col min="2" max="2" width="13.421875" style="15" customWidth="1"/>
    <col min="3" max="3" width="12.8515625" style="15" customWidth="1"/>
    <col min="4" max="4" width="2.421875" style="15" customWidth="1"/>
    <col min="5" max="5" width="13.421875" style="15" customWidth="1"/>
    <col min="6" max="7" width="11.421875" style="15" customWidth="1"/>
    <col min="8" max="8" width="2.28125" style="15" customWidth="1"/>
    <col min="9" max="9" width="2.421875" style="15" customWidth="1"/>
    <col min="10" max="10" width="15.00390625" style="15" customWidth="1"/>
    <col min="11" max="11" width="13.8515625" style="15" customWidth="1"/>
    <col min="12" max="12" width="15.140625" style="15" customWidth="1"/>
    <col min="13" max="13" width="15.421875" style="15" customWidth="1"/>
    <col min="14" max="16384" width="11.421875" style="15" customWidth="1"/>
  </cols>
  <sheetData>
    <row r="1" spans="1:14" ht="10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>
      <c r="A2" s="1"/>
      <c r="B2" s="321" t="s">
        <v>16</v>
      </c>
      <c r="C2" s="321"/>
      <c r="D2" s="1"/>
      <c r="E2" s="322" t="s">
        <v>17</v>
      </c>
      <c r="F2" s="322"/>
      <c r="G2" s="322"/>
      <c r="H2" s="1"/>
      <c r="I2" s="1"/>
      <c r="J2" s="312" t="s">
        <v>18</v>
      </c>
      <c r="K2" s="313"/>
      <c r="L2" s="314"/>
      <c r="N2" s="1"/>
    </row>
    <row r="3" spans="1:14" ht="10.5">
      <c r="A3" s="1"/>
      <c r="B3" s="9" t="s">
        <v>19</v>
      </c>
      <c r="C3" s="9" t="s">
        <v>20</v>
      </c>
      <c r="D3" s="1"/>
      <c r="E3" s="10" t="s">
        <v>21</v>
      </c>
      <c r="F3" s="10" t="s">
        <v>22</v>
      </c>
      <c r="G3" s="10" t="s">
        <v>23</v>
      </c>
      <c r="H3" s="1"/>
      <c r="I3" s="1"/>
      <c r="J3" s="10" t="s">
        <v>21</v>
      </c>
      <c r="K3" s="10" t="s">
        <v>22</v>
      </c>
      <c r="L3" s="10" t="s">
        <v>23</v>
      </c>
      <c r="M3" s="1"/>
      <c r="N3" s="1"/>
    </row>
    <row r="4" spans="1:14" ht="10.5">
      <c r="A4" s="1"/>
      <c r="B4" s="18" t="s">
        <v>24</v>
      </c>
      <c r="C4" s="18" t="s">
        <v>25</v>
      </c>
      <c r="D4" s="1"/>
      <c r="E4" s="11" t="s">
        <v>26</v>
      </c>
      <c r="F4" s="11">
        <v>85</v>
      </c>
      <c r="G4" s="11">
        <v>115</v>
      </c>
      <c r="H4" s="1"/>
      <c r="I4" s="1"/>
      <c r="J4" s="11" t="s">
        <v>27</v>
      </c>
      <c r="K4" s="11">
        <v>10</v>
      </c>
      <c r="L4" s="11">
        <v>276</v>
      </c>
      <c r="M4" s="1"/>
      <c r="N4" s="1"/>
    </row>
    <row r="5" spans="1:14" ht="10.5">
      <c r="A5" s="1"/>
      <c r="B5" s="19">
        <v>1</v>
      </c>
      <c r="C5" s="19">
        <v>1</v>
      </c>
      <c r="D5" s="1"/>
      <c r="E5" s="11" t="s">
        <v>28</v>
      </c>
      <c r="F5" s="11">
        <v>85</v>
      </c>
      <c r="G5" s="11">
        <v>105</v>
      </c>
      <c r="H5" s="1"/>
      <c r="I5" s="1"/>
      <c r="J5" s="11" t="s">
        <v>29</v>
      </c>
      <c r="K5" s="11">
        <v>10</v>
      </c>
      <c r="L5" s="11">
        <v>252</v>
      </c>
      <c r="M5" s="1"/>
      <c r="N5" s="1"/>
    </row>
    <row r="6" spans="1:14" ht="10.5">
      <c r="A6" s="1"/>
      <c r="B6" s="19"/>
      <c r="C6" s="19">
        <v>1.1</v>
      </c>
      <c r="D6" s="1"/>
      <c r="E6" s="11" t="s">
        <v>30</v>
      </c>
      <c r="F6" s="11">
        <v>85</v>
      </c>
      <c r="G6" s="11">
        <v>95</v>
      </c>
      <c r="H6" s="1"/>
      <c r="I6" s="1"/>
      <c r="J6" s="11" t="s">
        <v>31</v>
      </c>
      <c r="K6" s="11">
        <v>9</v>
      </c>
      <c r="L6" s="11">
        <v>234</v>
      </c>
      <c r="M6" s="1"/>
      <c r="N6" s="1"/>
    </row>
    <row r="7" spans="1:14" ht="10.5">
      <c r="A7" s="1"/>
      <c r="B7" s="19">
        <v>1.2</v>
      </c>
      <c r="C7" s="19">
        <v>1.2</v>
      </c>
      <c r="D7" s="1"/>
      <c r="E7" s="11" t="s">
        <v>32</v>
      </c>
      <c r="F7" s="11">
        <v>75</v>
      </c>
      <c r="G7" s="11">
        <v>90</v>
      </c>
      <c r="H7" s="1"/>
      <c r="I7" s="1"/>
      <c r="J7" s="11" t="s">
        <v>33</v>
      </c>
      <c r="K7" s="11">
        <v>9</v>
      </c>
      <c r="L7" s="11">
        <v>217</v>
      </c>
      <c r="M7" s="1"/>
      <c r="N7" s="1"/>
    </row>
    <row r="8" spans="1:14" ht="10.5">
      <c r="A8" s="1"/>
      <c r="B8" s="19"/>
      <c r="C8" s="19">
        <v>1.3</v>
      </c>
      <c r="D8" s="1"/>
      <c r="E8" s="12" t="s">
        <v>34</v>
      </c>
      <c r="F8" s="12">
        <v>60</v>
      </c>
      <c r="G8" s="12">
        <v>85</v>
      </c>
      <c r="H8" s="1"/>
      <c r="I8" s="1"/>
      <c r="J8" s="12" t="s">
        <v>35</v>
      </c>
      <c r="K8" s="12">
        <v>8</v>
      </c>
      <c r="L8" s="12">
        <v>193</v>
      </c>
      <c r="M8" s="1"/>
      <c r="N8" s="1"/>
    </row>
    <row r="9" spans="1:14" ht="10.5">
      <c r="A9" s="1"/>
      <c r="B9" s="20">
        <v>1.5</v>
      </c>
      <c r="C9" s="20">
        <v>1.5</v>
      </c>
      <c r="D9" s="1"/>
      <c r="E9" s="12" t="s">
        <v>36</v>
      </c>
      <c r="F9" s="12">
        <v>35</v>
      </c>
      <c r="G9" s="12">
        <v>80</v>
      </c>
      <c r="H9" s="1"/>
      <c r="I9" s="1"/>
      <c r="J9" s="12" t="s">
        <v>37</v>
      </c>
      <c r="K9" s="12">
        <v>7</v>
      </c>
      <c r="L9" s="12">
        <v>178</v>
      </c>
      <c r="M9" s="1"/>
      <c r="N9" s="1"/>
    </row>
    <row r="10" spans="1:14" ht="10.5">
      <c r="A10" s="1"/>
      <c r="B10" s="20"/>
      <c r="C10" s="20">
        <v>1.6</v>
      </c>
      <c r="D10" s="1"/>
      <c r="E10" s="12" t="s">
        <v>38</v>
      </c>
      <c r="F10" s="12">
        <v>25</v>
      </c>
      <c r="G10" s="12">
        <v>70</v>
      </c>
      <c r="H10" s="1"/>
      <c r="I10" s="1"/>
      <c r="J10" s="12" t="s">
        <v>39</v>
      </c>
      <c r="K10" s="12">
        <v>5</v>
      </c>
      <c r="L10" s="12">
        <v>162</v>
      </c>
      <c r="M10" s="1"/>
      <c r="N10" s="1"/>
    </row>
    <row r="11" spans="1:14" ht="10.5">
      <c r="A11" s="1"/>
      <c r="B11" s="20">
        <v>1.8</v>
      </c>
      <c r="C11" s="20">
        <v>1.8</v>
      </c>
      <c r="D11" s="1"/>
      <c r="E11" s="12" t="s">
        <v>40</v>
      </c>
      <c r="F11" s="12">
        <v>10</v>
      </c>
      <c r="G11" s="12">
        <v>64</v>
      </c>
      <c r="H11" s="1"/>
      <c r="I11" s="1"/>
      <c r="J11" s="12" t="s">
        <v>41</v>
      </c>
      <c r="K11" s="12">
        <v>2</v>
      </c>
      <c r="L11" s="12">
        <v>146</v>
      </c>
      <c r="M11" s="1"/>
      <c r="N11" s="1"/>
    </row>
    <row r="12" spans="1:14" ht="10.5">
      <c r="A12" s="1"/>
      <c r="B12" s="20"/>
      <c r="C12" s="20">
        <v>2</v>
      </c>
      <c r="D12" s="1"/>
      <c r="E12" s="11" t="s">
        <v>42</v>
      </c>
      <c r="F12" s="11">
        <v>8</v>
      </c>
      <c r="G12" s="11">
        <v>58</v>
      </c>
      <c r="H12" s="1"/>
      <c r="I12" s="1"/>
      <c r="J12" s="11" t="s">
        <v>43</v>
      </c>
      <c r="K12" s="11">
        <v>3.5</v>
      </c>
      <c r="L12" s="11">
        <v>133</v>
      </c>
      <c r="M12" s="1"/>
      <c r="N12" s="1"/>
    </row>
    <row r="13" spans="1:14" ht="10.5">
      <c r="A13" s="1"/>
      <c r="B13" s="19">
        <v>2.2</v>
      </c>
      <c r="C13" s="19">
        <v>2.2</v>
      </c>
      <c r="D13" s="1"/>
      <c r="E13" s="11" t="s">
        <v>44</v>
      </c>
      <c r="F13" s="11">
        <v>7</v>
      </c>
      <c r="G13" s="11">
        <v>53</v>
      </c>
      <c r="H13" s="1"/>
      <c r="I13" s="1"/>
      <c r="J13" s="11" t="s">
        <v>45</v>
      </c>
      <c r="K13" s="11">
        <v>4</v>
      </c>
      <c r="L13" s="11">
        <v>121</v>
      </c>
      <c r="M13" s="1"/>
      <c r="N13" s="1"/>
    </row>
    <row r="14" spans="1:14" ht="10.5">
      <c r="A14" s="1"/>
      <c r="B14" s="19"/>
      <c r="C14" s="19">
        <v>2.4</v>
      </c>
      <c r="D14" s="1"/>
      <c r="E14" s="11" t="s">
        <v>46</v>
      </c>
      <c r="F14" s="11">
        <v>7</v>
      </c>
      <c r="G14" s="11">
        <v>47</v>
      </c>
      <c r="H14" s="1"/>
      <c r="I14" s="1"/>
      <c r="J14" s="11" t="s">
        <v>47</v>
      </c>
      <c r="K14" s="11">
        <v>4.5</v>
      </c>
      <c r="L14" s="11">
        <v>110</v>
      </c>
      <c r="M14" s="1"/>
      <c r="N14" s="1"/>
    </row>
    <row r="15" spans="1:14" ht="10.5">
      <c r="A15" s="1"/>
      <c r="B15" s="19">
        <v>2.7</v>
      </c>
      <c r="C15" s="19">
        <v>2.7</v>
      </c>
      <c r="D15" s="1"/>
      <c r="E15" s="11" t="s">
        <v>48</v>
      </c>
      <c r="F15" s="11">
        <v>10</v>
      </c>
      <c r="G15" s="11">
        <v>43</v>
      </c>
      <c r="H15" s="1"/>
      <c r="I15" s="1"/>
      <c r="J15" s="11" t="s">
        <v>49</v>
      </c>
      <c r="K15" s="11">
        <v>5</v>
      </c>
      <c r="L15" s="11">
        <v>100</v>
      </c>
      <c r="M15" s="1"/>
      <c r="N15" s="1"/>
    </row>
    <row r="16" spans="1:14" ht="10.5">
      <c r="A16" s="1"/>
      <c r="B16" s="19"/>
      <c r="C16" s="19">
        <v>3</v>
      </c>
      <c r="D16" s="1"/>
      <c r="E16" s="12" t="s">
        <v>50</v>
      </c>
      <c r="F16" s="12">
        <v>15</v>
      </c>
      <c r="G16" s="12">
        <v>40</v>
      </c>
      <c r="H16" s="1"/>
      <c r="I16" s="1"/>
      <c r="J16" s="12" t="s">
        <v>51</v>
      </c>
      <c r="K16" s="12">
        <v>7</v>
      </c>
      <c r="L16" s="12">
        <v>91</v>
      </c>
      <c r="M16" s="1"/>
      <c r="N16" s="1"/>
    </row>
    <row r="17" spans="1:14" ht="10.5">
      <c r="A17" s="1"/>
      <c r="B17" s="20">
        <v>3.3</v>
      </c>
      <c r="C17" s="20">
        <v>3.3</v>
      </c>
      <c r="D17" s="1"/>
      <c r="E17" s="12" t="s">
        <v>52</v>
      </c>
      <c r="F17" s="12">
        <v>20</v>
      </c>
      <c r="G17" s="12">
        <v>36</v>
      </c>
      <c r="H17" s="1"/>
      <c r="I17" s="1"/>
      <c r="J17" s="12" t="s">
        <v>53</v>
      </c>
      <c r="K17" s="12">
        <v>8</v>
      </c>
      <c r="L17" s="12">
        <v>83</v>
      </c>
      <c r="M17" s="1"/>
      <c r="N17" s="1"/>
    </row>
    <row r="18" spans="1:14" ht="10.5">
      <c r="A18" s="1"/>
      <c r="B18" s="20"/>
      <c r="C18" s="20">
        <v>3.6</v>
      </c>
      <c r="D18" s="1"/>
      <c r="E18" s="12" t="s">
        <v>54</v>
      </c>
      <c r="F18" s="12">
        <v>20</v>
      </c>
      <c r="G18" s="12">
        <v>32</v>
      </c>
      <c r="H18" s="1"/>
      <c r="I18" s="1"/>
      <c r="J18" s="12" t="s">
        <v>55</v>
      </c>
      <c r="K18" s="12">
        <v>9</v>
      </c>
      <c r="L18" s="12">
        <v>76</v>
      </c>
      <c r="M18" s="1"/>
      <c r="N18" s="1"/>
    </row>
    <row r="19" spans="1:14" ht="10.5">
      <c r="A19" s="1"/>
      <c r="B19" s="20">
        <v>3.9</v>
      </c>
      <c r="C19" s="20">
        <v>3.9</v>
      </c>
      <c r="D19" s="1"/>
      <c r="E19" s="12" t="s">
        <v>56</v>
      </c>
      <c r="F19" s="12">
        <v>26</v>
      </c>
      <c r="G19" s="12">
        <v>29</v>
      </c>
      <c r="H19" s="1"/>
      <c r="I19" s="1"/>
      <c r="J19" s="12" t="s">
        <v>57</v>
      </c>
      <c r="K19" s="12">
        <v>10</v>
      </c>
      <c r="L19" s="12">
        <v>69</v>
      </c>
      <c r="M19" s="1"/>
      <c r="N19" s="1"/>
    </row>
    <row r="20" spans="1:14" ht="10.5">
      <c r="A20" s="1"/>
      <c r="B20" s="20"/>
      <c r="C20" s="20">
        <v>4.3</v>
      </c>
      <c r="D20" s="1"/>
      <c r="E20" s="11" t="s">
        <v>58</v>
      </c>
      <c r="F20" s="11">
        <v>30</v>
      </c>
      <c r="G20" s="11">
        <v>27</v>
      </c>
      <c r="H20" s="1"/>
      <c r="I20" s="1"/>
      <c r="J20" s="11" t="s">
        <v>59</v>
      </c>
      <c r="K20" s="11">
        <v>14</v>
      </c>
      <c r="L20" s="11">
        <v>61</v>
      </c>
      <c r="M20" s="1"/>
      <c r="N20" s="1"/>
    </row>
    <row r="21" spans="1:14" ht="10.5">
      <c r="A21" s="1"/>
      <c r="B21" s="19">
        <v>4.7</v>
      </c>
      <c r="C21" s="19">
        <v>4.7</v>
      </c>
      <c r="D21" s="1"/>
      <c r="E21" s="11" t="s">
        <v>60</v>
      </c>
      <c r="F21" s="11">
        <v>40</v>
      </c>
      <c r="G21" s="11">
        <v>24</v>
      </c>
      <c r="H21" s="1"/>
      <c r="I21" s="1"/>
      <c r="J21" s="11" t="s">
        <v>61</v>
      </c>
      <c r="K21" s="11">
        <v>16</v>
      </c>
      <c r="L21" s="11">
        <v>57</v>
      </c>
      <c r="M21" s="1"/>
      <c r="N21" s="1"/>
    </row>
    <row r="22" spans="1:14" ht="10.5">
      <c r="A22" s="1"/>
      <c r="B22" s="19"/>
      <c r="C22" s="19">
        <v>5.1</v>
      </c>
      <c r="D22" s="1"/>
      <c r="E22" s="11" t="s">
        <v>62</v>
      </c>
      <c r="F22" s="11">
        <v>50</v>
      </c>
      <c r="G22" s="11">
        <v>21</v>
      </c>
      <c r="H22" s="1"/>
      <c r="I22" s="1"/>
      <c r="J22" s="11" t="s">
        <v>63</v>
      </c>
      <c r="K22" s="11">
        <v>20</v>
      </c>
      <c r="L22" s="11">
        <v>50</v>
      </c>
      <c r="M22" s="1"/>
      <c r="N22" s="1"/>
    </row>
    <row r="23" spans="1:14" ht="10.5">
      <c r="A23" s="1"/>
      <c r="B23" s="19">
        <v>5.6</v>
      </c>
      <c r="C23" s="19">
        <v>5.6</v>
      </c>
      <c r="D23" s="1"/>
      <c r="E23" s="11" t="s">
        <v>64</v>
      </c>
      <c r="F23" s="11">
        <v>55</v>
      </c>
      <c r="G23" s="11">
        <v>20</v>
      </c>
      <c r="H23" s="1"/>
      <c r="I23" s="1"/>
      <c r="J23" s="11" t="s">
        <v>65</v>
      </c>
      <c r="K23" s="11">
        <v>22</v>
      </c>
      <c r="L23" s="11">
        <v>45</v>
      </c>
      <c r="M23" s="1"/>
      <c r="N23" s="1"/>
    </row>
    <row r="24" spans="1:14" ht="10.5">
      <c r="A24" s="1"/>
      <c r="B24" s="19"/>
      <c r="C24" s="19">
        <v>6.2</v>
      </c>
      <c r="D24" s="1"/>
      <c r="E24" s="12" t="s">
        <v>66</v>
      </c>
      <c r="F24" s="12">
        <v>55</v>
      </c>
      <c r="G24" s="12">
        <v>18</v>
      </c>
      <c r="H24" s="1"/>
      <c r="I24" s="1"/>
      <c r="J24" s="12" t="s">
        <v>67</v>
      </c>
      <c r="K24" s="12">
        <v>23</v>
      </c>
      <c r="L24" s="12">
        <v>41</v>
      </c>
      <c r="M24" s="1"/>
      <c r="N24" s="1"/>
    </row>
    <row r="25" spans="1:14" ht="10.5">
      <c r="A25" s="1"/>
      <c r="B25" s="20">
        <v>6.8</v>
      </c>
      <c r="C25" s="20">
        <v>6.8</v>
      </c>
      <c r="D25" s="1"/>
      <c r="E25" s="12" t="s">
        <v>68</v>
      </c>
      <c r="F25" s="12">
        <v>80</v>
      </c>
      <c r="G25" s="12">
        <v>16</v>
      </c>
      <c r="H25" s="1"/>
      <c r="I25" s="1"/>
      <c r="J25" s="12" t="s">
        <v>69</v>
      </c>
      <c r="K25" s="12">
        <v>25</v>
      </c>
      <c r="L25" s="12">
        <v>38</v>
      </c>
      <c r="M25" s="1"/>
      <c r="N25" s="1"/>
    </row>
    <row r="26" spans="1:14" ht="10.5">
      <c r="A26" s="1"/>
      <c r="B26" s="20"/>
      <c r="C26" s="20">
        <v>7.5</v>
      </c>
      <c r="D26" s="1"/>
      <c r="E26" s="12" t="s">
        <v>70</v>
      </c>
      <c r="F26" s="12">
        <v>80</v>
      </c>
      <c r="G26" s="12">
        <v>14</v>
      </c>
      <c r="H26" s="1"/>
      <c r="I26" s="1"/>
      <c r="J26" s="12" t="s">
        <v>71</v>
      </c>
      <c r="K26" s="12">
        <v>35</v>
      </c>
      <c r="L26" s="12">
        <v>34</v>
      </c>
      <c r="M26" s="1"/>
      <c r="N26" s="1"/>
    </row>
    <row r="27" spans="1:14" ht="10.5">
      <c r="A27" s="1"/>
      <c r="B27" s="20">
        <v>8.2</v>
      </c>
      <c r="C27" s="20">
        <v>8.2</v>
      </c>
      <c r="D27" s="1"/>
      <c r="E27" s="12" t="s">
        <v>72</v>
      </c>
      <c r="F27" s="12">
        <v>80</v>
      </c>
      <c r="G27" s="12">
        <v>13</v>
      </c>
      <c r="H27" s="1"/>
      <c r="I27" s="1"/>
      <c r="J27" s="12" t="s">
        <v>73</v>
      </c>
      <c r="K27" s="12">
        <v>40</v>
      </c>
      <c r="L27" s="12">
        <v>30</v>
      </c>
      <c r="M27" s="1"/>
      <c r="N27" s="1"/>
    </row>
    <row r="28" spans="1:14" ht="10.5">
      <c r="A28" s="1"/>
      <c r="B28" s="21"/>
      <c r="C28" s="21">
        <v>9.1</v>
      </c>
      <c r="D28" s="1"/>
      <c r="E28" s="12" t="s">
        <v>74</v>
      </c>
      <c r="F28" s="12">
        <v>80</v>
      </c>
      <c r="G28" s="12">
        <v>12</v>
      </c>
      <c r="H28" s="1"/>
      <c r="I28" s="1"/>
      <c r="J28" s="12" t="s">
        <v>75</v>
      </c>
      <c r="K28" s="12">
        <v>45</v>
      </c>
      <c r="L28" s="12">
        <v>27</v>
      </c>
      <c r="M28" s="1"/>
      <c r="N28" s="1"/>
    </row>
    <row r="29" spans="1:14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0.5">
      <c r="A30" s="1"/>
      <c r="B30" s="315" t="s">
        <v>76</v>
      </c>
      <c r="C30" s="316"/>
      <c r="D30" s="1"/>
      <c r="E30" s="317" t="s">
        <v>16</v>
      </c>
      <c r="F30" s="317"/>
      <c r="G30" s="317"/>
      <c r="H30" s="1"/>
      <c r="I30" s="1"/>
      <c r="J30" s="309" t="s">
        <v>77</v>
      </c>
      <c r="K30" s="310"/>
      <c r="L30" s="310"/>
      <c r="M30" s="311"/>
      <c r="N30" s="1"/>
    </row>
    <row r="31" spans="1:14" ht="10.5">
      <c r="A31" s="1"/>
      <c r="B31" s="309" t="s">
        <v>78</v>
      </c>
      <c r="C31" s="311"/>
      <c r="D31" s="1"/>
      <c r="E31" s="318" t="s">
        <v>79</v>
      </c>
      <c r="F31" s="318"/>
      <c r="G31" s="318"/>
      <c r="H31" s="1"/>
      <c r="I31" s="1"/>
      <c r="J31" s="13" t="s">
        <v>80</v>
      </c>
      <c r="K31" s="13" t="s">
        <v>81</v>
      </c>
      <c r="L31" s="13" t="s">
        <v>82</v>
      </c>
      <c r="M31" s="13" t="s">
        <v>83</v>
      </c>
      <c r="N31" s="1"/>
    </row>
    <row r="32" spans="1:14" ht="10.5">
      <c r="A32" s="1"/>
      <c r="B32" s="319" t="s">
        <v>84</v>
      </c>
      <c r="C32" s="320"/>
      <c r="D32" s="1"/>
      <c r="E32" s="35"/>
      <c r="F32" s="10" t="s">
        <v>85</v>
      </c>
      <c r="G32" s="10" t="s">
        <v>86</v>
      </c>
      <c r="H32" s="1"/>
      <c r="I32" s="1"/>
      <c r="J32" s="18" t="s">
        <v>87</v>
      </c>
      <c r="K32" s="18" t="s">
        <v>87</v>
      </c>
      <c r="L32" s="18" t="s">
        <v>87</v>
      </c>
      <c r="M32" s="18" t="s">
        <v>175</v>
      </c>
      <c r="N32" s="1"/>
    </row>
    <row r="33" spans="1:14" ht="10.5">
      <c r="A33" s="1"/>
      <c r="B33" s="22" t="s">
        <v>88</v>
      </c>
      <c r="C33" s="23" t="s">
        <v>89</v>
      </c>
      <c r="D33" s="1"/>
      <c r="E33" s="36" t="s">
        <v>90</v>
      </c>
      <c r="F33" s="39"/>
      <c r="G33" s="37" t="s">
        <v>91</v>
      </c>
      <c r="H33" s="1"/>
      <c r="I33" s="1"/>
      <c r="J33" s="36" t="s">
        <v>92</v>
      </c>
      <c r="K33" s="36" t="s">
        <v>93</v>
      </c>
      <c r="L33" s="36" t="s">
        <v>93</v>
      </c>
      <c r="M33" s="36" t="s">
        <v>94</v>
      </c>
      <c r="N33" s="1"/>
    </row>
    <row r="34" spans="1:14" ht="10.5">
      <c r="A34" s="1"/>
      <c r="B34" s="22" t="s">
        <v>95</v>
      </c>
      <c r="C34" s="23" t="s">
        <v>96</v>
      </c>
      <c r="D34" s="1"/>
      <c r="E34" s="36" t="s">
        <v>97</v>
      </c>
      <c r="F34" s="38"/>
      <c r="G34" s="37" t="s">
        <v>98</v>
      </c>
      <c r="H34" s="1"/>
      <c r="I34" s="1"/>
      <c r="J34" s="36" t="s">
        <v>99</v>
      </c>
      <c r="K34" s="36" t="s">
        <v>100</v>
      </c>
      <c r="L34" s="36" t="s">
        <v>100</v>
      </c>
      <c r="M34" s="36" t="s">
        <v>101</v>
      </c>
      <c r="N34" s="1"/>
    </row>
    <row r="35" spans="1:14" ht="10.5">
      <c r="A35" s="1"/>
      <c r="B35" s="22" t="s">
        <v>102</v>
      </c>
      <c r="C35" s="23" t="s">
        <v>103</v>
      </c>
      <c r="D35" s="1"/>
      <c r="E35" s="36" t="s">
        <v>104</v>
      </c>
      <c r="F35" s="23" t="s">
        <v>105</v>
      </c>
      <c r="G35" s="37" t="s">
        <v>106</v>
      </c>
      <c r="H35" s="25"/>
      <c r="I35" s="14"/>
      <c r="J35" s="36" t="s">
        <v>107</v>
      </c>
      <c r="K35" s="36" t="s">
        <v>108</v>
      </c>
      <c r="L35" s="36" t="s">
        <v>108</v>
      </c>
      <c r="M35" s="36" t="s">
        <v>109</v>
      </c>
      <c r="N35" s="1"/>
    </row>
    <row r="36" spans="1:14" ht="10.5">
      <c r="A36" s="1"/>
      <c r="B36" s="21" t="s">
        <v>110</v>
      </c>
      <c r="C36" s="24" t="s">
        <v>111</v>
      </c>
      <c r="D36" s="1"/>
      <c r="E36" s="36" t="s">
        <v>112</v>
      </c>
      <c r="F36" s="23" t="s">
        <v>113</v>
      </c>
      <c r="G36" s="37" t="s">
        <v>114</v>
      </c>
      <c r="H36" s="26"/>
      <c r="I36" s="14"/>
      <c r="J36" s="36" t="s">
        <v>115</v>
      </c>
      <c r="K36" s="36" t="s">
        <v>116</v>
      </c>
      <c r="L36" s="36" t="s">
        <v>116</v>
      </c>
      <c r="M36" s="36" t="s">
        <v>180</v>
      </c>
      <c r="N36" s="1"/>
    </row>
    <row r="37" spans="1:14" ht="10.5">
      <c r="A37" s="1"/>
      <c r="B37" s="21" t="s">
        <v>117</v>
      </c>
      <c r="C37" s="24" t="s">
        <v>118</v>
      </c>
      <c r="D37" s="1"/>
      <c r="E37" s="36" t="s">
        <v>119</v>
      </c>
      <c r="F37" s="23" t="s">
        <v>120</v>
      </c>
      <c r="G37" s="37" t="s">
        <v>121</v>
      </c>
      <c r="H37" s="27"/>
      <c r="I37" s="14"/>
      <c r="J37" s="42" t="s">
        <v>122</v>
      </c>
      <c r="K37" s="42" t="s">
        <v>123</v>
      </c>
      <c r="L37" s="42" t="s">
        <v>124</v>
      </c>
      <c r="M37" s="42" t="s">
        <v>125</v>
      </c>
      <c r="N37" s="1"/>
    </row>
    <row r="38" spans="1:14" ht="10.5">
      <c r="A38" s="1"/>
      <c r="B38" s="21" t="s">
        <v>126</v>
      </c>
      <c r="C38" s="24" t="s">
        <v>127</v>
      </c>
      <c r="D38" s="1"/>
      <c r="E38" s="36" t="s">
        <v>128</v>
      </c>
      <c r="F38" s="23" t="s">
        <v>129</v>
      </c>
      <c r="G38" s="37" t="s">
        <v>130</v>
      </c>
      <c r="H38" s="28"/>
      <c r="I38" s="14"/>
      <c r="J38" s="42" t="s">
        <v>131</v>
      </c>
      <c r="K38" s="42" t="s">
        <v>132</v>
      </c>
      <c r="L38" s="42" t="s">
        <v>132</v>
      </c>
      <c r="M38" s="42" t="s">
        <v>133</v>
      </c>
      <c r="N38" s="1"/>
    </row>
    <row r="39" spans="1:14" ht="10.5">
      <c r="A39" s="1"/>
      <c r="B39" s="22" t="s">
        <v>134</v>
      </c>
      <c r="C39" s="23" t="s">
        <v>135</v>
      </c>
      <c r="D39" s="1"/>
      <c r="E39" s="36" t="s">
        <v>136</v>
      </c>
      <c r="F39" s="23" t="s">
        <v>137</v>
      </c>
      <c r="G39" s="37" t="s">
        <v>138</v>
      </c>
      <c r="H39" s="29"/>
      <c r="I39" s="14"/>
      <c r="J39" s="42" t="s">
        <v>139</v>
      </c>
      <c r="K39" s="42" t="s">
        <v>140</v>
      </c>
      <c r="L39" s="42" t="s">
        <v>140</v>
      </c>
      <c r="M39" s="42" t="s">
        <v>141</v>
      </c>
      <c r="N39" s="1"/>
    </row>
    <row r="40" spans="1:14" ht="10.5">
      <c r="A40" s="1"/>
      <c r="B40" s="22" t="s">
        <v>142</v>
      </c>
      <c r="C40" s="23" t="s">
        <v>143</v>
      </c>
      <c r="D40" s="1"/>
      <c r="E40" s="36" t="s">
        <v>144</v>
      </c>
      <c r="F40" s="23" t="s">
        <v>145</v>
      </c>
      <c r="G40" s="37" t="s">
        <v>146</v>
      </c>
      <c r="H40" s="30"/>
      <c r="I40" s="14"/>
      <c r="J40" s="1"/>
      <c r="K40" s="1"/>
      <c r="L40" s="1"/>
      <c r="M40" s="1"/>
      <c r="N40" s="1"/>
    </row>
    <row r="41" spans="1:14" ht="10.5">
      <c r="A41" s="1"/>
      <c r="B41" s="22" t="s">
        <v>147</v>
      </c>
      <c r="C41" s="23" t="s">
        <v>148</v>
      </c>
      <c r="D41" s="1"/>
      <c r="E41" s="36" t="s">
        <v>149</v>
      </c>
      <c r="F41" s="23" t="s">
        <v>150</v>
      </c>
      <c r="G41" s="37" t="s">
        <v>151</v>
      </c>
      <c r="H41" s="31"/>
      <c r="I41" s="14"/>
      <c r="J41" s="309" t="s">
        <v>167</v>
      </c>
      <c r="K41" s="310"/>
      <c r="L41" s="310"/>
      <c r="M41" s="311"/>
      <c r="N41" s="1"/>
    </row>
    <row r="42" spans="1:14" ht="10.5">
      <c r="A42" s="1"/>
      <c r="B42" s="21" t="s">
        <v>152</v>
      </c>
      <c r="C42" s="24" t="s">
        <v>153</v>
      </c>
      <c r="D42" s="1"/>
      <c r="E42" s="36" t="s">
        <v>154</v>
      </c>
      <c r="F42" s="23" t="s">
        <v>155</v>
      </c>
      <c r="G42" s="37" t="s">
        <v>156</v>
      </c>
      <c r="H42" s="32"/>
      <c r="I42" s="14"/>
      <c r="J42" s="13" t="s">
        <v>168</v>
      </c>
      <c r="K42" s="13" t="s">
        <v>174</v>
      </c>
      <c r="L42" s="13" t="s">
        <v>181</v>
      </c>
      <c r="M42" s="13" t="s">
        <v>188</v>
      </c>
      <c r="N42" s="1"/>
    </row>
    <row r="43" spans="1:14" ht="10.5">
      <c r="A43" s="1"/>
      <c r="B43" s="21" t="s">
        <v>157</v>
      </c>
      <c r="C43" s="24" t="s">
        <v>158</v>
      </c>
      <c r="D43" s="1"/>
      <c r="E43" s="36" t="s">
        <v>159</v>
      </c>
      <c r="F43" s="23" t="s">
        <v>160</v>
      </c>
      <c r="G43" s="40"/>
      <c r="H43" s="33"/>
      <c r="I43" s="14"/>
      <c r="J43" s="18" t="s">
        <v>173</v>
      </c>
      <c r="K43" s="18" t="s">
        <v>175</v>
      </c>
      <c r="L43" s="18" t="s">
        <v>182</v>
      </c>
      <c r="M43" s="18" t="s">
        <v>193</v>
      </c>
      <c r="N43" s="1"/>
    </row>
    <row r="44" spans="1:14" ht="10.5">
      <c r="A44" s="1"/>
      <c r="B44" s="21" t="s">
        <v>161</v>
      </c>
      <c r="C44" s="24" t="s">
        <v>162</v>
      </c>
      <c r="D44" s="1"/>
      <c r="E44" s="36" t="s">
        <v>163</v>
      </c>
      <c r="F44" s="23" t="s">
        <v>164</v>
      </c>
      <c r="G44" s="41"/>
      <c r="H44" s="34"/>
      <c r="I44" s="14"/>
      <c r="J44" s="36" t="s">
        <v>94</v>
      </c>
      <c r="K44" s="36" t="s">
        <v>94</v>
      </c>
      <c r="L44" s="36" t="s">
        <v>183</v>
      </c>
      <c r="M44" s="36" t="s">
        <v>183</v>
      </c>
      <c r="N44" s="1"/>
    </row>
    <row r="45" spans="1:14" ht="10.5">
      <c r="A45" s="1"/>
      <c r="B45" s="21" t="s">
        <v>165</v>
      </c>
      <c r="C45" s="24" t="s">
        <v>166</v>
      </c>
      <c r="D45" s="1"/>
      <c r="E45" s="1"/>
      <c r="F45" s="1"/>
      <c r="G45" s="1"/>
      <c r="H45" s="1"/>
      <c r="I45" s="1"/>
      <c r="J45" s="36" t="s">
        <v>169</v>
      </c>
      <c r="K45" s="36" t="s">
        <v>176</v>
      </c>
      <c r="L45" s="36" t="s">
        <v>184</v>
      </c>
      <c r="M45" s="36" t="s">
        <v>189</v>
      </c>
      <c r="N45" s="1"/>
    </row>
    <row r="46" spans="1:14" ht="10.5">
      <c r="A46" s="1"/>
      <c r="B46" s="1"/>
      <c r="C46" s="1"/>
      <c r="D46" s="1"/>
      <c r="E46" s="1"/>
      <c r="F46" s="1"/>
      <c r="G46" s="1"/>
      <c r="H46" s="1"/>
      <c r="I46" s="1"/>
      <c r="J46" s="36" t="s">
        <v>170</v>
      </c>
      <c r="K46" s="36" t="s">
        <v>177</v>
      </c>
      <c r="L46" s="36" t="s">
        <v>187</v>
      </c>
      <c r="M46" s="36" t="s">
        <v>192</v>
      </c>
      <c r="N46" s="1"/>
    </row>
    <row r="47" spans="1:14" ht="10.5">
      <c r="A47" s="1"/>
      <c r="B47" s="1"/>
      <c r="C47" s="1"/>
      <c r="D47" s="1"/>
      <c r="E47" s="1"/>
      <c r="F47" s="1"/>
      <c r="G47" s="1"/>
      <c r="H47" s="1"/>
      <c r="I47" s="1"/>
      <c r="J47" s="36" t="s">
        <v>179</v>
      </c>
      <c r="K47" s="36" t="s">
        <v>180</v>
      </c>
      <c r="L47" s="36" t="s">
        <v>179</v>
      </c>
      <c r="M47" s="36" t="s">
        <v>191</v>
      </c>
      <c r="N47" s="1"/>
    </row>
    <row r="48" spans="1:14" ht="10.5">
      <c r="A48" s="1"/>
      <c r="B48" s="1"/>
      <c r="C48" s="1"/>
      <c r="D48" s="1"/>
      <c r="E48" s="1"/>
      <c r="F48" s="1"/>
      <c r="G48" s="1"/>
      <c r="H48" s="1"/>
      <c r="I48" s="1"/>
      <c r="J48" s="42" t="s">
        <v>172</v>
      </c>
      <c r="K48" s="42" t="s">
        <v>172</v>
      </c>
      <c r="L48" s="42" t="s">
        <v>185</v>
      </c>
      <c r="M48" s="42" t="s">
        <v>190</v>
      </c>
      <c r="N48" s="1"/>
    </row>
    <row r="49" spans="1:14" ht="10.5">
      <c r="A49" s="1"/>
      <c r="B49" s="1"/>
      <c r="C49" s="1"/>
      <c r="D49" s="1"/>
      <c r="E49" s="1"/>
      <c r="F49" s="1"/>
      <c r="G49" s="1"/>
      <c r="H49" s="1"/>
      <c r="I49" s="1"/>
      <c r="J49" s="42" t="s">
        <v>132</v>
      </c>
      <c r="K49" s="42" t="s">
        <v>132</v>
      </c>
      <c r="L49" s="42" t="s">
        <v>186</v>
      </c>
      <c r="M49" s="42" t="s">
        <v>195</v>
      </c>
      <c r="N49" s="1"/>
    </row>
    <row r="50" spans="1:14" ht="10.5">
      <c r="A50" s="1"/>
      <c r="B50" s="1"/>
      <c r="C50" s="1"/>
      <c r="D50" s="1"/>
      <c r="E50" s="1"/>
      <c r="F50" s="1"/>
      <c r="G50" s="1"/>
      <c r="H50" s="1"/>
      <c r="I50" s="1"/>
      <c r="J50" s="42" t="s">
        <v>171</v>
      </c>
      <c r="K50" s="42" t="s">
        <v>178</v>
      </c>
      <c r="L50" s="42"/>
      <c r="M50" s="42" t="s">
        <v>194</v>
      </c>
      <c r="N50" s="1"/>
    </row>
    <row r="51" spans="1:14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0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0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0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0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</sheetData>
  <sheetProtection/>
  <mergeCells count="10">
    <mergeCell ref="J41:M41"/>
    <mergeCell ref="J2:L2"/>
    <mergeCell ref="B30:C30"/>
    <mergeCell ref="E30:G30"/>
    <mergeCell ref="J30:M30"/>
    <mergeCell ref="B31:C31"/>
    <mergeCell ref="E31:G31"/>
    <mergeCell ref="B32:C32"/>
    <mergeCell ref="B2:C2"/>
    <mergeCell ref="E2:G2"/>
  </mergeCells>
  <printOptions/>
  <pageMargins left="0.1968503937007874" right="0.1968503937007874" top="0.7874015748031497" bottom="0.1968503937007874" header="0" footer="0"/>
  <pageSetup horizontalDpi="600" verticalDpi="600" orientation="landscape" paperSize="9" r:id="rId1"/>
  <ignoredErrors>
    <ignoredError sqref="F36:F4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Empresa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Diaz Hernandez</dc:creator>
  <cp:keywords/>
  <dc:description/>
  <cp:lastModifiedBy>Pedro Díaz Hernández</cp:lastModifiedBy>
  <cp:lastPrinted>2012-06-22T10:24:02Z</cp:lastPrinted>
  <dcterms:created xsi:type="dcterms:W3CDTF">2006-10-31T16:52:45Z</dcterms:created>
  <dcterms:modified xsi:type="dcterms:W3CDTF">2012-06-22T10:32:29Z</dcterms:modified>
  <cp:category/>
  <cp:version/>
  <cp:contentType/>
  <cp:contentStatus/>
</cp:coreProperties>
</file>