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8780" windowHeight="12660" tabRatio="529" activeTab="0"/>
  </bookViews>
  <sheets>
    <sheet name="Circuito zener 1" sheetId="1" r:id="rId1"/>
    <sheet name="FAE zener tipo 1" sheetId="2" r:id="rId2"/>
    <sheet name="FAE zener tipo 2" sheetId="3" r:id="rId3"/>
    <sheet name="Tablas de R, C, D y Zener" sheetId="4" r:id="rId4"/>
  </sheets>
  <definedNames/>
  <calcPr fullCalcOnLoad="1"/>
</workbook>
</file>

<file path=xl/comments1.xml><?xml version="1.0" encoding="utf-8"?>
<comments xmlns="http://schemas.openxmlformats.org/spreadsheetml/2006/main">
  <authors>
    <author>Pedro D?az Hern?ndez</author>
  </authors>
  <commentList>
    <comment ref="B11" authorId="0">
      <text>
        <r>
          <rPr>
            <sz val="8"/>
            <rFont val="Tahoma"/>
            <family val="2"/>
          </rPr>
          <t>Cálculo de RLim para que funcione según especificaciones.</t>
        </r>
      </text>
    </comment>
    <comment ref="D18" authorId="0">
      <text>
        <r>
          <rPr>
            <sz val="8"/>
            <rFont val="Tahoma"/>
            <family val="2"/>
          </rPr>
          <t>Funciona bien entre el 10-90% de Izmáx.</t>
        </r>
      </text>
    </comment>
  </commentList>
</comments>
</file>

<file path=xl/comments2.xml><?xml version="1.0" encoding="utf-8"?>
<comments xmlns="http://schemas.openxmlformats.org/spreadsheetml/2006/main">
  <authors>
    <author>Pedro Diaz</author>
  </authors>
  <commentList>
    <comment ref="A13" authorId="0">
      <text>
        <r>
          <rPr>
            <sz val="8"/>
            <rFont val="Tahoma"/>
            <family val="2"/>
          </rPr>
          <t>Se conocen todos los valores de los componentes. Hay que calcular las tensiones, corrientes, potencias, etc. de los componentes del circuito.</t>
        </r>
      </text>
    </comment>
    <comment ref="F11" authorId="0">
      <text>
        <r>
          <rPr>
            <sz val="8"/>
            <rFont val="Tahoma"/>
            <family val="2"/>
          </rPr>
          <t>Puede que la tensión del secundario sea pequeña o la resistencia limitadora muy grande.</t>
        </r>
      </text>
    </comment>
  </commentList>
</comments>
</file>

<file path=xl/comments3.xml><?xml version="1.0" encoding="utf-8"?>
<comments xmlns="http://schemas.openxmlformats.org/spreadsheetml/2006/main">
  <authors>
    <author>Pedro Diaz</author>
    <author>Pedro Diaz Hernandez</author>
    <author>Pedro D?az Hern?ndez</author>
  </authors>
  <commentList>
    <comment ref="A13" authorId="0">
      <text>
        <r>
          <rPr>
            <sz val="8"/>
            <rFont val="Tahoma"/>
            <family val="2"/>
          </rPr>
          <t>Se conocen los valores de tensión y corriente de salida. Deberemos calcular todo lo demás.</t>
        </r>
      </text>
    </comment>
    <comment ref="D19" authorId="0">
      <text>
        <r>
          <rPr>
            <sz val="8"/>
            <rFont val="Tahoma"/>
            <family val="2"/>
          </rPr>
          <t>% de Izener máxima.</t>
        </r>
      </text>
    </comment>
    <comment ref="D30" authorId="0">
      <text>
        <r>
          <rPr>
            <sz val="8"/>
            <rFont val="Tahoma"/>
            <family val="2"/>
          </rPr>
          <t>% de Pmáxima disipable.</t>
        </r>
      </text>
    </comment>
    <comment ref="D28" authorId="0">
      <text>
        <r>
          <rPr>
            <sz val="8"/>
            <rFont val="Tahoma"/>
            <family val="2"/>
          </rPr>
          <t>Es un número adimensional.</t>
        </r>
      </text>
    </comment>
    <comment ref="D37" authorId="0">
      <text>
        <r>
          <rPr>
            <sz val="8"/>
            <rFont val="Tahoma"/>
            <family val="2"/>
          </rPr>
          <t>Tensión Zener + Tensión RLim + Rizado en el Condensador.</t>
        </r>
      </text>
    </comment>
    <comment ref="F13" authorId="0">
      <text>
        <r>
          <rPr>
            <sz val="8"/>
            <rFont val="Tahoma"/>
            <family val="2"/>
          </rPr>
          <t>Si RLim ≤ Z zener no se va a cumplir con el factor de regulación Zener.</t>
        </r>
      </text>
    </comment>
    <comment ref="G13" authorId="0">
      <text>
        <r>
          <rPr>
            <sz val="8"/>
            <rFont val="Tahoma"/>
            <family val="2"/>
          </rPr>
          <t>La potencia en RLim puede ser excesiva.</t>
        </r>
      </text>
    </comment>
    <comment ref="D34" authorId="1">
      <text>
        <r>
          <rPr>
            <sz val="8"/>
            <rFont val="Tahoma"/>
            <family val="2"/>
          </rPr>
          <t>% de la Potencia máxima disipable por RLim.</t>
        </r>
      </text>
    </comment>
    <comment ref="H13" authorId="1">
      <text>
        <r>
          <rPr>
            <sz val="8"/>
            <rFont val="Tahoma"/>
            <family val="2"/>
          </rPr>
          <t>El circuito soporta la desconexión de la carga sin quemar el zener.</t>
        </r>
      </text>
    </comment>
    <comment ref="D42" authorId="1">
      <text>
        <r>
          <rPr>
            <sz val="8"/>
            <rFont val="Tahoma"/>
            <family val="2"/>
          </rPr>
          <t>% de la Potencia disipable por el Zener.</t>
        </r>
      </text>
    </comment>
    <comment ref="D39" authorId="2">
      <text>
        <r>
          <rPr>
            <sz val="9"/>
            <rFont val="Tahoma"/>
            <family val="2"/>
          </rPr>
          <t>Tensión del Secundario  teniendo en cuenta la posible caída de la red de 220Vef</t>
        </r>
      </text>
    </comment>
  </commentList>
</comments>
</file>

<file path=xl/sharedStrings.xml><?xml version="1.0" encoding="utf-8"?>
<sst xmlns="http://schemas.openxmlformats.org/spreadsheetml/2006/main" count="346" uniqueCount="263">
  <si>
    <t>Hz</t>
  </si>
  <si>
    <t>F</t>
  </si>
  <si>
    <t>Ω</t>
  </si>
  <si>
    <t>Autor: Pedro Díaz Hernández</t>
  </si>
  <si>
    <t>Fuente de alimentación</t>
  </si>
  <si>
    <t>Frecuencia de la red =</t>
  </si>
  <si>
    <t>V</t>
  </si>
  <si>
    <t>A</t>
  </si>
  <si>
    <t>Vmax</t>
  </si>
  <si>
    <t>Vef</t>
  </si>
  <si>
    <t>Resistencia limitadora (RLim) =</t>
  </si>
  <si>
    <t>Resistencia de carga (RLoad) =</t>
  </si>
  <si>
    <t>Condensador de filtrado (C) =</t>
  </si>
  <si>
    <t>Impedancia zener (Z zener) =</t>
  </si>
  <si>
    <t>Corriente zener máxima (Izmx) =</t>
  </si>
  <si>
    <t>Corriente a través de RLoad =</t>
  </si>
  <si>
    <t>W</t>
  </si>
  <si>
    <t>Potencia disipada en RLoad =</t>
  </si>
  <si>
    <t>Potencia disipada en RLim =</t>
  </si>
  <si>
    <t>Tensión secundario del Trafo =</t>
  </si>
  <si>
    <t>Tensión en el condensador (C) =</t>
  </si>
  <si>
    <t>Tensión en el Zener/RLoad (Vz) =</t>
  </si>
  <si>
    <t>Corriente total por el circuito (It) =</t>
  </si>
  <si>
    <t>Factor de regulación del Zener =</t>
  </si>
  <si>
    <t>Rizado en el condensador =</t>
  </si>
  <si>
    <t>Vpp</t>
  </si>
  <si>
    <t>Rizado en la carga =</t>
  </si>
  <si>
    <t>Corriente a través del Zener (Iz) =</t>
  </si>
  <si>
    <t>V  sec. pequeña</t>
  </si>
  <si>
    <t>P RLim excesiva</t>
  </si>
  <si>
    <t>μF</t>
  </si>
  <si>
    <t>Potencia disipable por RLim =</t>
  </si>
  <si>
    <t>P Zener excesiva</t>
  </si>
  <si>
    <t>Potencia disipada en DZener =</t>
  </si>
  <si>
    <t>ΔVpp excesivo en C</t>
  </si>
  <si>
    <t>estabilizada Zener</t>
  </si>
  <si>
    <t>Tensión en la carga =</t>
  </si>
  <si>
    <t>Corriente solicitada por la carga =</t>
  </si>
  <si>
    <t>Tensión en el DZener =</t>
  </si>
  <si>
    <t>Factor de regulación de DZener =</t>
  </si>
  <si>
    <t>Potencia disipada por RLim =</t>
  </si>
  <si>
    <t>Tensión en el Condensador =</t>
  </si>
  <si>
    <t>Caída de tensión en cada diodo =</t>
  </si>
  <si>
    <t>Rizado en el Condensador =</t>
  </si>
  <si>
    <t>Corriente Total por el circuito (It) =</t>
  </si>
  <si>
    <t>Tolerancia suministro de la red =</t>
  </si>
  <si>
    <t>Resistencia equivalente de carga =</t>
  </si>
  <si>
    <t>Tensión secundario Trafo (Vsec) =</t>
  </si>
  <si>
    <t>Frecuencia rizado de salida =</t>
  </si>
  <si>
    <t>Potencia disipada en la carga =</t>
  </si>
  <si>
    <t>Tensión en Dzener/RLoad =</t>
  </si>
  <si>
    <t>Caída de tensión en RLim =</t>
  </si>
  <si>
    <t>±</t>
  </si>
  <si>
    <t>VA</t>
  </si>
  <si>
    <t>Potencia del Trafo =</t>
  </si>
  <si>
    <t>BZX55C 3V3</t>
  </si>
  <si>
    <t>BZX55C 3V6</t>
  </si>
  <si>
    <t>BZX55C 3V9</t>
  </si>
  <si>
    <t>BZX55C 4V3</t>
  </si>
  <si>
    <t>BZX55C 5V1</t>
  </si>
  <si>
    <t>BZX55C 5V6</t>
  </si>
  <si>
    <t>BZX55C 6V2</t>
  </si>
  <si>
    <t>BZX55C 7V5</t>
  </si>
  <si>
    <t>BZX55C 8V2</t>
  </si>
  <si>
    <t>BZX55C 9V1</t>
  </si>
  <si>
    <t>BZX55C 10</t>
  </si>
  <si>
    <t>BZX55C 11</t>
  </si>
  <si>
    <t>BZX55C 12</t>
  </si>
  <si>
    <t>BZX55C 13</t>
  </si>
  <si>
    <t>BZX55C 15</t>
  </si>
  <si>
    <t>BZX55C 16</t>
  </si>
  <si>
    <t>BZX55C 18</t>
  </si>
  <si>
    <t>BZX55C 20</t>
  </si>
  <si>
    <t>BZX55C 22</t>
  </si>
  <si>
    <t>BZX55C 24</t>
  </si>
  <si>
    <t>BZX55C 27</t>
  </si>
  <si>
    <t>BZX55C 30</t>
  </si>
  <si>
    <t>BZX55C 33</t>
  </si>
  <si>
    <t>BZX55C 4V7</t>
  </si>
  <si>
    <t>BZX55C 6V8</t>
  </si>
  <si>
    <t>Tensión Zener (V)</t>
  </si>
  <si>
    <t>Izmax. (mA)</t>
  </si>
  <si>
    <t>Z zener (Ω)</t>
  </si>
  <si>
    <t>Datos Zener de 0.5W</t>
  </si>
  <si>
    <t>Datos Zener de 1W</t>
  </si>
  <si>
    <t>Rizado en la carga (ΔVpp) =</t>
  </si>
  <si>
    <t>µF</t>
  </si>
  <si>
    <t>1N4728 (3,3V)</t>
  </si>
  <si>
    <t>1N4729 (3,6V)</t>
  </si>
  <si>
    <t>1N4730 (3,9V)</t>
  </si>
  <si>
    <t>1N4731 (4,3V)</t>
  </si>
  <si>
    <t>1N4732 (4,7V)</t>
  </si>
  <si>
    <t>1N4733 (5,1V)</t>
  </si>
  <si>
    <t>1N4734 (5,6V)</t>
  </si>
  <si>
    <t>1N4735 (6,2V)</t>
  </si>
  <si>
    <t>1N4736 (6,8V)</t>
  </si>
  <si>
    <t>1N4737 (7,5V)</t>
  </si>
  <si>
    <t>1N4738 (8,2V)</t>
  </si>
  <si>
    <t>1N4739 (9,1V)</t>
  </si>
  <si>
    <t>1N4740 (10V)</t>
  </si>
  <si>
    <t>1N4741 (11V)</t>
  </si>
  <si>
    <t>1N4742 (12V)</t>
  </si>
  <si>
    <t>1N4743 (13V)</t>
  </si>
  <si>
    <t>1N4744 (15V)</t>
  </si>
  <si>
    <t>1N4745 (16V)</t>
  </si>
  <si>
    <t>1N4746 (18V)</t>
  </si>
  <si>
    <t>1N4747 (20V)</t>
  </si>
  <si>
    <t>1N4748 (22V)</t>
  </si>
  <si>
    <t>1N4749 (24V)</t>
  </si>
  <si>
    <t>1N4750 (27V)</t>
  </si>
  <si>
    <t>1N4751 (30V)</t>
  </si>
  <si>
    <t>1N4752 (33V)</t>
  </si>
  <si>
    <t>RLim ≤ Z zener</t>
  </si>
  <si>
    <t>DZener soporta desconexión de RLoad =</t>
  </si>
  <si>
    <t>Tolerancia ±10%</t>
  </si>
  <si>
    <t>Tolerancia ±5%</t>
  </si>
  <si>
    <t>Serie E24</t>
  </si>
  <si>
    <t>Serie E12</t>
  </si>
  <si>
    <t>R E S I S T E N C I A S</t>
  </si>
  <si>
    <t>C</t>
  </si>
  <si>
    <t>D</t>
  </si>
  <si>
    <t>G</t>
  </si>
  <si>
    <t>J</t>
  </si>
  <si>
    <t>K</t>
  </si>
  <si>
    <t>Y</t>
  </si>
  <si>
    <t>M</t>
  </si>
  <si>
    <t>Q</t>
  </si>
  <si>
    <t>T</t>
  </si>
  <si>
    <t>S</t>
  </si>
  <si>
    <t>Z</t>
  </si>
  <si>
    <t>U</t>
  </si>
  <si>
    <t>C O N D E N S A D O R E S</t>
  </si>
  <si>
    <t>Cerámicos &amp; Film Plástico</t>
  </si>
  <si>
    <t>Código de tolerancias</t>
  </si>
  <si>
    <t>±0,25pF</t>
  </si>
  <si>
    <t>±0,5pF</t>
  </si>
  <si>
    <t>-10% +30%</t>
  </si>
  <si>
    <t>-10% +50%</t>
  </si>
  <si>
    <t>-10% +75%</t>
  </si>
  <si>
    <t>-20% +50%</t>
  </si>
  <si>
    <t>-20% +80%</t>
  </si>
  <si>
    <t>±1%</t>
  </si>
  <si>
    <t>±2%</t>
  </si>
  <si>
    <t>±5%</t>
  </si>
  <si>
    <t>±10%</t>
  </si>
  <si>
    <t>±15%</t>
  </si>
  <si>
    <t>±20%</t>
  </si>
  <si>
    <t>Plata</t>
  </si>
  <si>
    <t>Oro</t>
  </si>
  <si>
    <t>Negro</t>
  </si>
  <si>
    <t>Marrón</t>
  </si>
  <si>
    <t>Rojo</t>
  </si>
  <si>
    <t>Naranja</t>
  </si>
  <si>
    <t>Amarillo</t>
  </si>
  <si>
    <t>Verde</t>
  </si>
  <si>
    <t>Azul</t>
  </si>
  <si>
    <t>Violeta</t>
  </si>
  <si>
    <t>Gris</t>
  </si>
  <si>
    <t>Blanco</t>
  </si>
  <si>
    <t>0       0       0</t>
  </si>
  <si>
    <t>2       2       2</t>
  </si>
  <si>
    <t>3       3       3</t>
  </si>
  <si>
    <t>4       4       4</t>
  </si>
  <si>
    <t>5       5       5</t>
  </si>
  <si>
    <t>6       6       6</t>
  </si>
  <si>
    <t>7       7       7</t>
  </si>
  <si>
    <t>8       8       8</t>
  </si>
  <si>
    <t>9       9       9</t>
  </si>
  <si>
    <t>1       1       1</t>
  </si>
  <si>
    <t>1         --%</t>
  </si>
  <si>
    <t>10         1%</t>
  </si>
  <si>
    <t>100K      0,5%</t>
  </si>
  <si>
    <t>100         2%</t>
  </si>
  <si>
    <t xml:space="preserve">   1K         --%</t>
  </si>
  <si>
    <t>10K         --%</t>
  </si>
  <si>
    <t xml:space="preserve">  1M    0,25%</t>
  </si>
  <si>
    <t xml:space="preserve">  10M      0,1%</t>
  </si>
  <si>
    <t>1B     2B      4B</t>
  </si>
  <si>
    <t xml:space="preserve">   3B          Tol.</t>
  </si>
  <si>
    <t>0,01      ±10%</t>
  </si>
  <si>
    <t>0,1        ±5%</t>
  </si>
  <si>
    <t>Código de colores (1B 2B 3B 4B + Tol.)</t>
  </si>
  <si>
    <t>1N4001</t>
  </si>
  <si>
    <t>1N4007</t>
  </si>
  <si>
    <t>IF(av) = 1A</t>
  </si>
  <si>
    <t>Ifsm = 30A</t>
  </si>
  <si>
    <t>Vfm = 1,1V @ 1A</t>
  </si>
  <si>
    <t>Pd = 2.5W</t>
  </si>
  <si>
    <t>Vrrm = 50V</t>
  </si>
  <si>
    <t>Vrrm = 1000V</t>
  </si>
  <si>
    <t>DO-35</t>
  </si>
  <si>
    <t>C = 15pF @ 1MHz</t>
  </si>
  <si>
    <t>Irm = 5µA @ 25ºC</t>
  </si>
  <si>
    <t>D I O D O S     (Típicos)</t>
  </si>
  <si>
    <t>1N914/4148</t>
  </si>
  <si>
    <t>IF(av) = 300mA</t>
  </si>
  <si>
    <t>Ifsm = 1A</t>
  </si>
  <si>
    <t>Pd = 0.5W</t>
  </si>
  <si>
    <t>C = 4pF @ 1MHz</t>
  </si>
  <si>
    <t>Irm = 25nA @ 25ºC</t>
  </si>
  <si>
    <t>Vrrm = 75V</t>
  </si>
  <si>
    <t>Vfm = 1V @ 100mA</t>
  </si>
  <si>
    <t>IF(av) = 3A</t>
  </si>
  <si>
    <t>BY255</t>
  </si>
  <si>
    <t>Ifsm = 100A</t>
  </si>
  <si>
    <t>Vfm = 1,1V @ 3A</t>
  </si>
  <si>
    <t>C = 50pF @ 1MHz</t>
  </si>
  <si>
    <t>Irm = 20µA @ 25ºC</t>
  </si>
  <si>
    <t>Vrrm = 1300V</t>
  </si>
  <si>
    <t>P RLim adecuada</t>
  </si>
  <si>
    <t>Potencia disipable en RLim =</t>
  </si>
  <si>
    <t>Carga desconexionable</t>
  </si>
  <si>
    <t>DO-201A</t>
  </si>
  <si>
    <t>Pd = 6.5W</t>
  </si>
  <si>
    <t>D I O D O S     (Fast y Schottky)</t>
  </si>
  <si>
    <t>1N5626</t>
  </si>
  <si>
    <t>1N5406</t>
  </si>
  <si>
    <t>MR824</t>
  </si>
  <si>
    <t>SB540</t>
  </si>
  <si>
    <t>(Fast) G-3</t>
  </si>
  <si>
    <t>(Fast) DO-201A</t>
  </si>
  <si>
    <t>(Schottky) DO-201A</t>
  </si>
  <si>
    <t>IF(av) = 5A</t>
  </si>
  <si>
    <t>Ifsm = 125A</t>
  </si>
  <si>
    <t>Ifsm = 200A</t>
  </si>
  <si>
    <t>Ifsm = 300A</t>
  </si>
  <si>
    <t>Ifsm = 150A</t>
  </si>
  <si>
    <t>Vfm = 1V @ 3A</t>
  </si>
  <si>
    <t>Vfm = 1,2V @ 3A</t>
  </si>
  <si>
    <t>Vfm = 1,1V @ 5A</t>
  </si>
  <si>
    <t>Vfm = 0,55V @ 5A</t>
  </si>
  <si>
    <t>Pd = 6W</t>
  </si>
  <si>
    <t>Pd = 5W</t>
  </si>
  <si>
    <t>Vrrm = 600V</t>
  </si>
  <si>
    <t>Vrrm = 400V</t>
  </si>
  <si>
    <t>Vrrm = 40V</t>
  </si>
  <si>
    <t>Irm = 25µA @ 25ºC</t>
  </si>
  <si>
    <t>Irm = 500µA @ 25ºC</t>
  </si>
  <si>
    <t>C = 40pF @ 1MHz</t>
  </si>
  <si>
    <t>C = 30pF @ 1MHz</t>
  </si>
  <si>
    <t>C = 500pF @ 1MHz</t>
  </si>
  <si>
    <t>R E S U L T A D O S</t>
  </si>
  <si>
    <t>ΔVpp</t>
  </si>
  <si>
    <t>mA</t>
  </si>
  <si>
    <t>Dzener soporta desconexión RLoad =</t>
  </si>
  <si>
    <t>Datos iniciales</t>
  </si>
  <si>
    <t>Circuito con diodo Zener</t>
  </si>
  <si>
    <t>Tensión de entrada (Vcc) =</t>
  </si>
  <si>
    <t>Tensión en la salida (VLoad) =</t>
  </si>
  <si>
    <t>Corriente por la carga (ILoad) =</t>
  </si>
  <si>
    <t>%</t>
  </si>
  <si>
    <t>Potencia disipable en el Zener =</t>
  </si>
  <si>
    <t>Corriente total por el circuito (ITotal) =</t>
  </si>
  <si>
    <t>Impedancia Zener (Zzener) =</t>
  </si>
  <si>
    <t>Tensión del Zener (VDZ) =</t>
  </si>
  <si>
    <t>Corriente Zener máxima (IZRM) =</t>
  </si>
  <si>
    <t>Porcentaje de IZRM a través del Zener =</t>
  </si>
  <si>
    <t>Potencia disipada en el Zener =</t>
  </si>
  <si>
    <t>¿DZener soporta desconexión de RLoad? =</t>
  </si>
  <si>
    <t>mW</t>
  </si>
  <si>
    <t>Corriente a través del zener =</t>
  </si>
  <si>
    <t>D A T O S    I N I C I A L E S</t>
  </si>
  <si>
    <t>D A T O S     I N I C I A L E S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</si>
</sst>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E+00"/>
    <numFmt numFmtId="165" formatCode="#,##0.0"/>
    <numFmt numFmtId="166" formatCode="00000"/>
    <numFmt numFmtId="167" formatCode="0.0"/>
    <numFmt numFmtId="168" formatCode="0.0000"/>
    <numFmt numFmtId="169" formatCode="0.000"/>
    <numFmt numFmtId="170" formatCode="#,##0.000"/>
    <numFmt numFmtId="171" formatCode="#,##0.0000"/>
    <numFmt numFmtId="172" formatCode="[$-C0A]dddd\,\ dd&quot; de &quot;mmmm&quot; de &quot;yyyy"/>
    <numFmt numFmtId="173" formatCode="[$-409]d\-m\-yy\ h:mm\ AM/PM;@"/>
    <numFmt numFmtId="174" formatCode="[$-409]h:mm\ AM/PM;@"/>
    <numFmt numFmtId="175" formatCode="&quot;Sí&quot;;&quot;Sí&quot;;&quot;No&quot;"/>
    <numFmt numFmtId="176" formatCode="&quot;Verdadero&quot;;&quot;Verdadero&quot;;&quot;Falso&quot;"/>
    <numFmt numFmtId="177" formatCode="&quot;Activado&quot;;&quot;Activado&quot;;&quot;Desactivado&quot;"/>
    <numFmt numFmtId="178" formatCode="[$€-2]\ #,##0.00_);[Red]\([$€-2]\ #,##0.00\)"/>
    <numFmt numFmtId="179" formatCode="0.E+00"/>
    <numFmt numFmtId="180" formatCode="#,##0.00_ ;\-#,##0.00\ "/>
    <numFmt numFmtId="181" formatCode="0.00_ ;\-0.00\ "/>
    <numFmt numFmtId="182" formatCode="0.00000"/>
    <numFmt numFmtId="183" formatCode="0.0%"/>
  </numFmts>
  <fonts count="57">
    <font>
      <sz val="10"/>
      <name val="Arial"/>
      <family val="0"/>
    </font>
    <font>
      <sz val="8"/>
      <name val="Arial"/>
      <family val="2"/>
    </font>
    <font>
      <sz val="8"/>
      <name val="Tahoma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sz val="10"/>
      <color indexed="55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Tahoma"/>
      <family val="2"/>
    </font>
    <font>
      <sz val="8"/>
      <color indexed="8"/>
      <name val="Tahoma"/>
      <family val="2"/>
    </font>
    <font>
      <sz val="8"/>
      <color indexed="9"/>
      <name val="Tahoma"/>
      <family val="2"/>
    </font>
    <font>
      <sz val="8"/>
      <color indexed="55"/>
      <name val="Tahoma"/>
      <family val="2"/>
    </font>
    <font>
      <b/>
      <sz val="8"/>
      <color indexed="9"/>
      <name val="Tahoma"/>
      <family val="2"/>
    </font>
    <font>
      <b/>
      <sz val="8"/>
      <color indexed="8"/>
      <name val="Tahoma"/>
      <family val="2"/>
    </font>
    <font>
      <b/>
      <sz val="10"/>
      <name val="Arial"/>
      <family val="2"/>
    </font>
    <font>
      <sz val="9"/>
      <name val="Tahoma"/>
      <family val="2"/>
    </font>
    <font>
      <sz val="9.75"/>
      <color indexed="8"/>
      <name val="Arial"/>
      <family val="0"/>
    </font>
    <font>
      <sz val="8.2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FF0000"/>
      <name val="Tahoma"/>
      <family val="2"/>
    </font>
    <font>
      <b/>
      <sz val="8"/>
      <name val="Arial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7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23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23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23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>
        <color indexed="63"/>
      </right>
      <top style="double">
        <color indexed="55"/>
      </top>
      <bottom>
        <color indexed="63"/>
      </bottom>
    </border>
    <border>
      <left>
        <color indexed="63"/>
      </left>
      <right>
        <color indexed="63"/>
      </right>
      <top style="double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double">
        <color indexed="55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23"/>
      </bottom>
    </border>
    <border>
      <left style="thin">
        <color indexed="55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55"/>
      </left>
      <right>
        <color indexed="63"/>
      </right>
      <top style="thin">
        <color indexed="55"/>
      </top>
      <bottom style="double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double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double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23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2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44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235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2" fillId="33" borderId="1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34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9" fillId="34" borderId="11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/>
    </xf>
    <xf numFmtId="0" fontId="13" fillId="35" borderId="0" xfId="0" applyFont="1" applyFill="1" applyAlignment="1">
      <alignment horizontal="center" vertical="center"/>
    </xf>
    <xf numFmtId="0" fontId="2" fillId="34" borderId="10" xfId="0" applyFont="1" applyFill="1" applyBorder="1" applyAlignment="1">
      <alignment horizontal="center"/>
    </xf>
    <xf numFmtId="0" fontId="2" fillId="36" borderId="0" xfId="0" applyFont="1" applyFill="1" applyAlignment="1">
      <alignment/>
    </xf>
    <xf numFmtId="0" fontId="2" fillId="0" borderId="0" xfId="0" applyFont="1" applyAlignment="1">
      <alignment/>
    </xf>
    <xf numFmtId="0" fontId="2" fillId="34" borderId="11" xfId="0" applyFont="1" applyFill="1" applyBorder="1" applyAlignment="1">
      <alignment/>
    </xf>
    <xf numFmtId="0" fontId="2" fillId="36" borderId="11" xfId="0" applyFont="1" applyFill="1" applyBorder="1" applyAlignment="1">
      <alignment/>
    </xf>
    <xf numFmtId="0" fontId="2" fillId="34" borderId="11" xfId="0" applyFont="1" applyFill="1" applyBorder="1" applyAlignment="1">
      <alignment horizontal="center"/>
    </xf>
    <xf numFmtId="0" fontId="2" fillId="36" borderId="11" xfId="0" applyFont="1" applyFill="1" applyBorder="1" applyAlignment="1">
      <alignment horizontal="center"/>
    </xf>
    <xf numFmtId="0" fontId="2" fillId="34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167" fontId="2" fillId="36" borderId="11" xfId="0" applyNumberFormat="1" applyFont="1" applyFill="1" applyBorder="1" applyAlignment="1">
      <alignment horizontal="center"/>
    </xf>
    <xf numFmtId="49" fontId="2" fillId="36" borderId="11" xfId="0" applyNumberFormat="1" applyFont="1" applyFill="1" applyBorder="1" applyAlignment="1">
      <alignment horizontal="center"/>
    </xf>
    <xf numFmtId="167" fontId="2" fillId="33" borderId="11" xfId="0" applyNumberFormat="1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49" fontId="2" fillId="33" borderId="11" xfId="0" applyNumberFormat="1" applyFont="1" applyFill="1" applyBorder="1" applyAlignment="1">
      <alignment horizontal="center"/>
    </xf>
    <xf numFmtId="49" fontId="2" fillId="36" borderId="11" xfId="0" applyNumberFormat="1" applyFont="1" applyFill="1" applyBorder="1" applyAlignment="1">
      <alignment horizontal="right"/>
    </xf>
    <xf numFmtId="0" fontId="2" fillId="37" borderId="11" xfId="0" applyFont="1" applyFill="1" applyBorder="1" applyAlignment="1">
      <alignment/>
    </xf>
    <xf numFmtId="0" fontId="2" fillId="38" borderId="11" xfId="0" applyFont="1" applyFill="1" applyBorder="1" applyAlignment="1">
      <alignment/>
    </xf>
    <xf numFmtId="0" fontId="2" fillId="39" borderId="11" xfId="0" applyFont="1" applyFill="1" applyBorder="1" applyAlignment="1">
      <alignment/>
    </xf>
    <xf numFmtId="0" fontId="2" fillId="40" borderId="11" xfId="0" applyFont="1" applyFill="1" applyBorder="1" applyAlignment="1">
      <alignment/>
    </xf>
    <xf numFmtId="0" fontId="2" fillId="41" borderId="11" xfId="0" applyFont="1" applyFill="1" applyBorder="1" applyAlignment="1">
      <alignment/>
    </xf>
    <xf numFmtId="0" fontId="2" fillId="42" borderId="11" xfId="0" applyFont="1" applyFill="1" applyBorder="1" applyAlignment="1">
      <alignment/>
    </xf>
    <xf numFmtId="0" fontId="2" fillId="43" borderId="11" xfId="0" applyFont="1" applyFill="1" applyBorder="1" applyAlignment="1">
      <alignment/>
    </xf>
    <xf numFmtId="0" fontId="2" fillId="44" borderId="11" xfId="0" applyFont="1" applyFill="1" applyBorder="1" applyAlignment="1">
      <alignment/>
    </xf>
    <xf numFmtId="0" fontId="2" fillId="45" borderId="11" xfId="0" applyFont="1" applyFill="1" applyBorder="1" applyAlignment="1">
      <alignment/>
    </xf>
    <xf numFmtId="0" fontId="2" fillId="36" borderId="13" xfId="0" applyFont="1" applyFill="1" applyBorder="1" applyAlignment="1">
      <alignment/>
    </xf>
    <xf numFmtId="49" fontId="2" fillId="36" borderId="13" xfId="0" applyNumberFormat="1" applyFont="1" applyFill="1" applyBorder="1" applyAlignment="1">
      <alignment horizontal="center"/>
    </xf>
    <xf numFmtId="49" fontId="2" fillId="36" borderId="13" xfId="0" applyNumberFormat="1" applyFont="1" applyFill="1" applyBorder="1" applyAlignment="1">
      <alignment horizontal="right"/>
    </xf>
    <xf numFmtId="49" fontId="2" fillId="36" borderId="12" xfId="0" applyNumberFormat="1" applyFont="1" applyFill="1" applyBorder="1" applyAlignment="1">
      <alignment horizontal="center"/>
    </xf>
    <xf numFmtId="49" fontId="2" fillId="36" borderId="12" xfId="0" applyNumberFormat="1" applyFont="1" applyFill="1" applyBorder="1" applyAlignment="1">
      <alignment horizontal="right"/>
    </xf>
    <xf numFmtId="49" fontId="2" fillId="36" borderId="14" xfId="0" applyNumberFormat="1" applyFont="1" applyFill="1" applyBorder="1" applyAlignment="1">
      <alignment horizontal="right"/>
    </xf>
    <xf numFmtId="0" fontId="2" fillId="36" borderId="15" xfId="0" applyFont="1" applyFill="1" applyBorder="1" applyAlignment="1">
      <alignment/>
    </xf>
    <xf numFmtId="49" fontId="2" fillId="36" borderId="16" xfId="0" applyNumberFormat="1" applyFont="1" applyFill="1" applyBorder="1" applyAlignment="1">
      <alignment horizontal="center"/>
    </xf>
    <xf numFmtId="49" fontId="2" fillId="36" borderId="15" xfId="0" applyNumberFormat="1" applyFont="1" applyFill="1" applyBorder="1" applyAlignment="1">
      <alignment horizontal="right"/>
    </xf>
    <xf numFmtId="0" fontId="2" fillId="0" borderId="11" xfId="0" applyFont="1" applyBorder="1" applyAlignment="1">
      <alignment/>
    </xf>
    <xf numFmtId="0" fontId="9" fillId="34" borderId="12" xfId="0" applyFont="1" applyFill="1" applyBorder="1" applyAlignment="1">
      <alignment horizontal="center"/>
    </xf>
    <xf numFmtId="0" fontId="2" fillId="36" borderId="0" xfId="0" applyFont="1" applyFill="1" applyBorder="1" applyAlignment="1">
      <alignment/>
    </xf>
    <xf numFmtId="2" fontId="5" fillId="0" borderId="0" xfId="0" applyNumberFormat="1" applyFont="1" applyFill="1" applyAlignment="1">
      <alignment/>
    </xf>
    <xf numFmtId="2" fontId="4" fillId="0" borderId="0" xfId="0" applyNumberFormat="1" applyFont="1" applyFill="1" applyAlignment="1">
      <alignment/>
    </xf>
    <xf numFmtId="0" fontId="2" fillId="36" borderId="0" xfId="0" applyFont="1" applyFill="1" applyAlignment="1">
      <alignment horizontal="center"/>
    </xf>
    <xf numFmtId="0" fontId="11" fillId="36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22" fontId="2" fillId="0" borderId="0" xfId="0" applyNumberFormat="1" applyFont="1" applyFill="1" applyAlignment="1">
      <alignment horizontal="center"/>
    </xf>
    <xf numFmtId="0" fontId="11" fillId="0" borderId="0" xfId="0" applyFont="1" applyFill="1" applyAlignment="1">
      <alignment horizontal="center" vertical="center"/>
    </xf>
    <xf numFmtId="0" fontId="4" fillId="0" borderId="0" xfId="0" applyFont="1" applyFill="1" applyAlignment="1">
      <alignment/>
    </xf>
    <xf numFmtId="2" fontId="5" fillId="0" borderId="0" xfId="49" applyNumberFormat="1" applyFont="1" applyFill="1" applyAlignment="1">
      <alignment/>
    </xf>
    <xf numFmtId="0" fontId="2" fillId="34" borderId="17" xfId="0" applyFont="1" applyFill="1" applyBorder="1" applyAlignment="1">
      <alignment horizontal="center" vertical="center"/>
    </xf>
    <xf numFmtId="0" fontId="9" fillId="34" borderId="17" xfId="0" applyFont="1" applyFill="1" applyBorder="1" applyAlignment="1">
      <alignment horizontal="center" vertical="center"/>
    </xf>
    <xf numFmtId="0" fontId="2" fillId="46" borderId="18" xfId="0" applyFont="1" applyFill="1" applyBorder="1" applyAlignment="1">
      <alignment horizontal="right" vertical="center"/>
    </xf>
    <xf numFmtId="0" fontId="2" fillId="46" borderId="0" xfId="0" applyFont="1" applyFill="1" applyBorder="1" applyAlignment="1">
      <alignment vertical="center"/>
    </xf>
    <xf numFmtId="0" fontId="2" fillId="46" borderId="19" xfId="0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0" fontId="2" fillId="46" borderId="20" xfId="0" applyFont="1" applyFill="1" applyBorder="1" applyAlignment="1">
      <alignment horizontal="right" vertical="center"/>
    </xf>
    <xf numFmtId="0" fontId="2" fillId="46" borderId="21" xfId="0" applyFont="1" applyFill="1" applyBorder="1" applyAlignment="1">
      <alignment vertical="center"/>
    </xf>
    <xf numFmtId="0" fontId="2" fillId="46" borderId="22" xfId="0" applyFont="1" applyFill="1" applyBorder="1" applyAlignment="1">
      <alignment vertical="center"/>
    </xf>
    <xf numFmtId="169" fontId="2" fillId="0" borderId="0" xfId="0" applyNumberFormat="1" applyFont="1" applyFill="1" applyBorder="1" applyAlignment="1">
      <alignment vertical="center"/>
    </xf>
    <xf numFmtId="165" fontId="2" fillId="0" borderId="21" xfId="0" applyNumberFormat="1" applyFont="1" applyFill="1" applyBorder="1" applyAlignment="1">
      <alignment horizontal="right" vertical="center"/>
    </xf>
    <xf numFmtId="3" fontId="2" fillId="0" borderId="0" xfId="0" applyNumberFormat="1" applyFont="1" applyFill="1" applyBorder="1" applyAlignment="1">
      <alignment horizontal="right" vertical="center"/>
    </xf>
    <xf numFmtId="0" fontId="2" fillId="46" borderId="23" xfId="0" applyFont="1" applyFill="1" applyBorder="1" applyAlignment="1">
      <alignment horizontal="right" vertical="center"/>
    </xf>
    <xf numFmtId="3" fontId="2" fillId="0" borderId="24" xfId="0" applyNumberFormat="1" applyFont="1" applyFill="1" applyBorder="1" applyAlignment="1">
      <alignment vertical="center"/>
    </xf>
    <xf numFmtId="0" fontId="2" fillId="46" borderId="24" xfId="0" applyFont="1" applyFill="1" applyBorder="1" applyAlignment="1">
      <alignment vertical="center"/>
    </xf>
    <xf numFmtId="0" fontId="2" fillId="46" borderId="25" xfId="0" applyFont="1" applyFill="1" applyBorder="1" applyAlignment="1">
      <alignment vertical="center"/>
    </xf>
    <xf numFmtId="0" fontId="2" fillId="34" borderId="18" xfId="0" applyFont="1" applyFill="1" applyBorder="1" applyAlignment="1">
      <alignment horizontal="right" vertical="center"/>
    </xf>
    <xf numFmtId="0" fontId="2" fillId="34" borderId="0" xfId="0" applyFont="1" applyFill="1" applyBorder="1" applyAlignment="1">
      <alignment vertical="center"/>
    </xf>
    <xf numFmtId="0" fontId="2" fillId="34" borderId="19" xfId="0" applyFont="1" applyFill="1" applyBorder="1" applyAlignment="1">
      <alignment horizontal="right" vertical="center"/>
    </xf>
    <xf numFmtId="0" fontId="2" fillId="34" borderId="20" xfId="0" applyFont="1" applyFill="1" applyBorder="1" applyAlignment="1">
      <alignment horizontal="right" vertical="center"/>
    </xf>
    <xf numFmtId="0" fontId="2" fillId="34" borderId="21" xfId="0" applyFont="1" applyFill="1" applyBorder="1" applyAlignment="1">
      <alignment vertical="center"/>
    </xf>
    <xf numFmtId="183" fontId="2" fillId="34" borderId="22" xfId="55" applyNumberFormat="1" applyFont="1" applyFill="1" applyBorder="1" applyAlignment="1">
      <alignment horizontal="right" vertical="center"/>
    </xf>
    <xf numFmtId="183" fontId="2" fillId="34" borderId="19" xfId="55" applyNumberFormat="1" applyFont="1" applyFill="1" applyBorder="1" applyAlignment="1">
      <alignment horizontal="right" vertical="center"/>
    </xf>
    <xf numFmtId="10" fontId="2" fillId="34" borderId="19" xfId="55" applyNumberFormat="1" applyFont="1" applyFill="1" applyBorder="1" applyAlignment="1">
      <alignment horizontal="right" vertical="center"/>
    </xf>
    <xf numFmtId="0" fontId="2" fillId="34" borderId="22" xfId="0" applyFont="1" applyFill="1" applyBorder="1" applyAlignment="1">
      <alignment horizontal="center" vertical="center"/>
    </xf>
    <xf numFmtId="183" fontId="2" fillId="34" borderId="26" xfId="55" applyNumberFormat="1" applyFont="1" applyFill="1" applyBorder="1" applyAlignment="1">
      <alignment horizontal="right" vertical="center"/>
    </xf>
    <xf numFmtId="0" fontId="10" fillId="34" borderId="23" xfId="0" applyFont="1" applyFill="1" applyBorder="1" applyAlignment="1">
      <alignment horizontal="right" vertical="center"/>
    </xf>
    <xf numFmtId="0" fontId="2" fillId="34" borderId="24" xfId="0" applyFont="1" applyFill="1" applyBorder="1" applyAlignment="1">
      <alignment vertical="center"/>
    </xf>
    <xf numFmtId="0" fontId="11" fillId="35" borderId="25" xfId="0" applyFont="1" applyFill="1" applyBorder="1" applyAlignment="1">
      <alignment horizontal="center" vertical="center"/>
    </xf>
    <xf numFmtId="169" fontId="2" fillId="36" borderId="0" xfId="0" applyNumberFormat="1" applyFont="1" applyFill="1" applyBorder="1" applyAlignment="1">
      <alignment vertical="center"/>
    </xf>
    <xf numFmtId="1" fontId="2" fillId="36" borderId="0" xfId="0" applyNumberFormat="1" applyFont="1" applyFill="1" applyBorder="1" applyAlignment="1">
      <alignment vertical="center"/>
    </xf>
    <xf numFmtId="2" fontId="2" fillId="36" borderId="21" xfId="55" applyNumberFormat="1" applyFont="1" applyFill="1" applyBorder="1" applyAlignment="1">
      <alignment vertical="center"/>
    </xf>
    <xf numFmtId="2" fontId="2" fillId="36" borderId="21" xfId="0" applyNumberFormat="1" applyFont="1" applyFill="1" applyBorder="1" applyAlignment="1">
      <alignment vertical="center"/>
    </xf>
    <xf numFmtId="0" fontId="10" fillId="36" borderId="0" xfId="0" applyFont="1" applyFill="1" applyAlignment="1">
      <alignment horizontal="center" vertical="center"/>
    </xf>
    <xf numFmtId="0" fontId="10" fillId="36" borderId="0" xfId="0" applyFont="1" applyFill="1" applyAlignment="1">
      <alignment vertical="center"/>
    </xf>
    <xf numFmtId="22" fontId="10" fillId="36" borderId="0" xfId="0" applyNumberFormat="1" applyFont="1" applyFill="1" applyAlignment="1">
      <alignment horizontal="center" vertical="center"/>
    </xf>
    <xf numFmtId="4" fontId="10" fillId="36" borderId="27" xfId="0" applyNumberFormat="1" applyFont="1" applyFill="1" applyBorder="1" applyAlignment="1">
      <alignment vertical="center"/>
    </xf>
    <xf numFmtId="0" fontId="10" fillId="46" borderId="18" xfId="0" applyFont="1" applyFill="1" applyBorder="1" applyAlignment="1">
      <alignment horizontal="right" vertical="center"/>
    </xf>
    <xf numFmtId="4" fontId="10" fillId="36" borderId="0" xfId="0" applyNumberFormat="1" applyFont="1" applyFill="1" applyBorder="1" applyAlignment="1">
      <alignment vertical="center"/>
    </xf>
    <xf numFmtId="0" fontId="10" fillId="46" borderId="19" xfId="0" applyFont="1" applyFill="1" applyBorder="1" applyAlignment="1">
      <alignment vertical="center"/>
    </xf>
    <xf numFmtId="165" fontId="10" fillId="36" borderId="0" xfId="0" applyNumberFormat="1" applyFont="1" applyFill="1" applyBorder="1" applyAlignment="1">
      <alignment vertical="center"/>
    </xf>
    <xf numFmtId="0" fontId="10" fillId="46" borderId="28" xfId="0" applyFont="1" applyFill="1" applyBorder="1" applyAlignment="1">
      <alignment horizontal="right" vertical="center"/>
    </xf>
    <xf numFmtId="0" fontId="10" fillId="46" borderId="29" xfId="0" applyFont="1" applyFill="1" applyBorder="1" applyAlignment="1">
      <alignment vertical="center"/>
    </xf>
    <xf numFmtId="0" fontId="10" fillId="36" borderId="0" xfId="0" applyFont="1" applyFill="1" applyBorder="1" applyAlignment="1">
      <alignment vertical="center"/>
    </xf>
    <xf numFmtId="165" fontId="10" fillId="36" borderId="27" xfId="0" applyNumberFormat="1" applyFont="1" applyFill="1" applyBorder="1" applyAlignment="1">
      <alignment vertical="center"/>
    </xf>
    <xf numFmtId="0" fontId="0" fillId="36" borderId="0" xfId="0" applyFill="1" applyAlignment="1">
      <alignment horizontal="center" vertical="center"/>
    </xf>
    <xf numFmtId="170" fontId="11" fillId="36" borderId="0" xfId="0" applyNumberFormat="1" applyFont="1" applyFill="1" applyAlignment="1">
      <alignment vertical="center"/>
    </xf>
    <xf numFmtId="0" fontId="10" fillId="34" borderId="30" xfId="0" applyFont="1" applyFill="1" applyBorder="1" applyAlignment="1">
      <alignment horizontal="right" vertical="center"/>
    </xf>
    <xf numFmtId="4" fontId="10" fillId="36" borderId="31" xfId="0" applyNumberFormat="1" applyFont="1" applyFill="1" applyBorder="1" applyAlignment="1">
      <alignment vertical="center"/>
    </xf>
    <xf numFmtId="0" fontId="10" fillId="34" borderId="32" xfId="0" applyFont="1" applyFill="1" applyBorder="1" applyAlignment="1">
      <alignment vertical="center"/>
    </xf>
    <xf numFmtId="0" fontId="10" fillId="34" borderId="18" xfId="0" applyFont="1" applyFill="1" applyBorder="1" applyAlignment="1">
      <alignment horizontal="right" vertical="center"/>
    </xf>
    <xf numFmtId="170" fontId="10" fillId="36" borderId="0" xfId="0" applyNumberFormat="1" applyFont="1" applyFill="1" applyBorder="1" applyAlignment="1">
      <alignment vertical="center"/>
    </xf>
    <xf numFmtId="0" fontId="10" fillId="34" borderId="19" xfId="0" applyFont="1" applyFill="1" applyBorder="1" applyAlignment="1">
      <alignment vertical="center"/>
    </xf>
    <xf numFmtId="183" fontId="2" fillId="34" borderId="0" xfId="0" applyNumberFormat="1" applyFont="1" applyFill="1" applyAlignment="1">
      <alignment horizontal="center" vertical="center"/>
    </xf>
    <xf numFmtId="0" fontId="10" fillId="34" borderId="33" xfId="0" applyFont="1" applyFill="1" applyBorder="1" applyAlignment="1">
      <alignment horizontal="right" vertical="center"/>
    </xf>
    <xf numFmtId="0" fontId="10" fillId="34" borderId="34" xfId="0" applyFont="1" applyFill="1" applyBorder="1" applyAlignment="1">
      <alignment vertical="center"/>
    </xf>
    <xf numFmtId="4" fontId="10" fillId="36" borderId="35" xfId="0" applyNumberFormat="1" applyFont="1" applyFill="1" applyBorder="1" applyAlignment="1">
      <alignment vertical="center"/>
    </xf>
    <xf numFmtId="4" fontId="10" fillId="36" borderId="0" xfId="0" applyNumberFormat="1" applyFont="1" applyFill="1" applyAlignment="1">
      <alignment vertical="center"/>
    </xf>
    <xf numFmtId="4" fontId="2" fillId="34" borderId="0" xfId="0" applyNumberFormat="1" applyFont="1" applyFill="1" applyAlignment="1">
      <alignment horizontal="center" vertical="center"/>
    </xf>
    <xf numFmtId="0" fontId="11" fillId="35" borderId="0" xfId="0" applyFont="1" applyFill="1" applyAlignment="1">
      <alignment horizontal="center" vertical="center"/>
    </xf>
    <xf numFmtId="183" fontId="10" fillId="34" borderId="0" xfId="0" applyNumberFormat="1" applyFont="1" applyFill="1" applyAlignment="1">
      <alignment horizontal="center" vertical="center"/>
    </xf>
    <xf numFmtId="0" fontId="10" fillId="34" borderId="28" xfId="0" applyFont="1" applyFill="1" applyBorder="1" applyAlignment="1">
      <alignment horizontal="right" vertical="center"/>
    </xf>
    <xf numFmtId="0" fontId="10" fillId="34" borderId="29" xfId="0" applyFont="1" applyFill="1" applyBorder="1" applyAlignment="1">
      <alignment vertical="center"/>
    </xf>
    <xf numFmtId="0" fontId="14" fillId="36" borderId="0" xfId="0" applyFont="1" applyFill="1" applyAlignment="1">
      <alignment horizontal="center" vertical="center"/>
    </xf>
    <xf numFmtId="169" fontId="11" fillId="0" borderId="0" xfId="0" applyNumberFormat="1" applyFont="1" applyFill="1" applyAlignment="1">
      <alignment horizontal="right"/>
    </xf>
    <xf numFmtId="0" fontId="2" fillId="36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169" fontId="12" fillId="0" borderId="0" xfId="0" applyNumberFormat="1" applyFont="1" applyFill="1" applyAlignment="1">
      <alignment vertical="center"/>
    </xf>
    <xf numFmtId="169" fontId="6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22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11" fillId="0" borderId="0" xfId="0" applyFont="1" applyFill="1" applyBorder="1" applyAlignment="1">
      <alignment vertical="center"/>
    </xf>
    <xf numFmtId="0" fontId="2" fillId="46" borderId="0" xfId="0" applyFont="1" applyFill="1" applyBorder="1" applyAlignment="1">
      <alignment horizontal="right" vertical="center"/>
    </xf>
    <xf numFmtId="0" fontId="2" fillId="36" borderId="0" xfId="0" applyFont="1" applyFill="1" applyBorder="1" applyAlignment="1">
      <alignment horizontal="center" vertical="center"/>
    </xf>
    <xf numFmtId="0" fontId="2" fillId="46" borderId="36" xfId="0" applyFont="1" applyFill="1" applyBorder="1" applyAlignment="1">
      <alignment horizontal="right" vertical="center"/>
    </xf>
    <xf numFmtId="0" fontId="2" fillId="36" borderId="0" xfId="0" applyFont="1" applyFill="1" applyBorder="1" applyAlignment="1">
      <alignment vertical="center"/>
    </xf>
    <xf numFmtId="0" fontId="2" fillId="46" borderId="0" xfId="0" applyFont="1" applyFill="1" applyAlignment="1">
      <alignment horizontal="right" vertical="center"/>
    </xf>
    <xf numFmtId="169" fontId="10" fillId="36" borderId="0" xfId="0" applyNumberFormat="1" applyFont="1" applyFill="1" applyBorder="1" applyAlignment="1">
      <alignment vertical="center"/>
    </xf>
    <xf numFmtId="183" fontId="2" fillId="46" borderId="0" xfId="55" applyNumberFormat="1" applyFont="1" applyFill="1" applyBorder="1" applyAlignment="1">
      <alignment horizontal="left" vertical="center"/>
    </xf>
    <xf numFmtId="2" fontId="10" fillId="36" borderId="0" xfId="0" applyNumberFormat="1" applyFont="1" applyFill="1" applyBorder="1" applyAlignment="1">
      <alignment vertical="center"/>
    </xf>
    <xf numFmtId="1" fontId="10" fillId="36" borderId="0" xfId="0" applyNumberFormat="1" applyFont="1" applyFill="1" applyBorder="1" applyAlignment="1">
      <alignment vertical="center"/>
    </xf>
    <xf numFmtId="183" fontId="2" fillId="46" borderId="0" xfId="55" applyNumberFormat="1" applyFont="1" applyFill="1" applyBorder="1" applyAlignment="1">
      <alignment vertical="center"/>
    </xf>
    <xf numFmtId="2" fontId="2" fillId="0" borderId="0" xfId="0" applyNumberFormat="1" applyFont="1" applyFill="1" applyAlignment="1">
      <alignment vertical="center"/>
    </xf>
    <xf numFmtId="2" fontId="0" fillId="0" borderId="0" xfId="0" applyNumberFormat="1" applyFont="1" applyFill="1" applyAlignment="1">
      <alignment vertical="center"/>
    </xf>
    <xf numFmtId="169" fontId="10" fillId="36" borderId="0" xfId="55" applyNumberFormat="1" applyFont="1" applyFill="1" applyBorder="1" applyAlignment="1">
      <alignment vertical="center"/>
    </xf>
    <xf numFmtId="9" fontId="2" fillId="34" borderId="22" xfId="0" applyNumberFormat="1" applyFont="1" applyFill="1" applyBorder="1" applyAlignment="1">
      <alignment vertical="center"/>
    </xf>
    <xf numFmtId="9" fontId="2" fillId="34" borderId="19" xfId="0" applyNumberFormat="1" applyFont="1" applyFill="1" applyBorder="1" applyAlignment="1">
      <alignment vertical="center"/>
    </xf>
    <xf numFmtId="169" fontId="10" fillId="36" borderId="21" xfId="0" applyNumberFormat="1" applyFont="1" applyFill="1" applyBorder="1" applyAlignment="1">
      <alignment vertical="center"/>
    </xf>
    <xf numFmtId="0" fontId="2" fillId="34" borderId="22" xfId="0" applyFont="1" applyFill="1" applyBorder="1" applyAlignment="1">
      <alignment vertical="center"/>
    </xf>
    <xf numFmtId="0" fontId="2" fillId="34" borderId="37" xfId="0" applyFont="1" applyFill="1" applyBorder="1" applyAlignment="1">
      <alignment horizontal="right" vertical="center"/>
    </xf>
    <xf numFmtId="0" fontId="2" fillId="34" borderId="36" xfId="0" applyFont="1" applyFill="1" applyBorder="1" applyAlignment="1">
      <alignment vertical="center"/>
    </xf>
    <xf numFmtId="2" fontId="2" fillId="36" borderId="36" xfId="0" applyNumberFormat="1" applyFont="1" applyFill="1" applyBorder="1" applyAlignment="1">
      <alignment vertical="center"/>
    </xf>
    <xf numFmtId="0" fontId="2" fillId="34" borderId="28" xfId="0" applyFont="1" applyFill="1" applyBorder="1" applyAlignment="1">
      <alignment horizontal="right" vertical="center"/>
    </xf>
    <xf numFmtId="0" fontId="2" fillId="34" borderId="27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10" fontId="2" fillId="34" borderId="38" xfId="55" applyNumberFormat="1" applyFont="1" applyFill="1" applyBorder="1" applyAlignment="1">
      <alignment horizontal="right" vertical="center"/>
    </xf>
    <xf numFmtId="183" fontId="2" fillId="34" borderId="38" xfId="55" applyNumberFormat="1" applyFont="1" applyFill="1" applyBorder="1" applyAlignment="1">
      <alignment horizontal="right" vertical="center"/>
    </xf>
    <xf numFmtId="183" fontId="2" fillId="34" borderId="29" xfId="0" applyNumberFormat="1" applyFont="1" applyFill="1" applyBorder="1" applyAlignment="1">
      <alignment horizontal="right" vertical="center"/>
    </xf>
    <xf numFmtId="183" fontId="2" fillId="46" borderId="0" xfId="55" applyNumberFormat="1" applyFont="1" applyFill="1" applyBorder="1" applyAlignment="1">
      <alignment horizontal="right" vertical="center"/>
    </xf>
    <xf numFmtId="169" fontId="10" fillId="36" borderId="0" xfId="0" applyNumberFormat="1" applyFont="1" applyFill="1" applyBorder="1" applyAlignment="1">
      <alignment horizontal="right" vertical="center"/>
    </xf>
    <xf numFmtId="1" fontId="10" fillId="36" borderId="21" xfId="0" applyNumberFormat="1" applyFont="1" applyFill="1" applyBorder="1" applyAlignment="1">
      <alignment vertical="center"/>
    </xf>
    <xf numFmtId="1" fontId="55" fillId="36" borderId="0" xfId="0" applyNumberFormat="1" applyFont="1" applyFill="1" applyBorder="1" applyAlignment="1">
      <alignment vertical="center"/>
    </xf>
    <xf numFmtId="0" fontId="55" fillId="34" borderId="0" xfId="0" applyFont="1" applyFill="1" applyBorder="1" applyAlignment="1">
      <alignment vertical="center"/>
    </xf>
    <xf numFmtId="167" fontId="55" fillId="36" borderId="0" xfId="0" applyNumberFormat="1" applyFont="1" applyFill="1" applyBorder="1" applyAlignment="1">
      <alignment vertical="center"/>
    </xf>
    <xf numFmtId="0" fontId="55" fillId="34" borderId="18" xfId="0" applyFont="1" applyFill="1" applyBorder="1" applyAlignment="1">
      <alignment horizontal="right" vertical="center"/>
    </xf>
    <xf numFmtId="0" fontId="55" fillId="34" borderId="37" xfId="0" applyFont="1" applyFill="1" applyBorder="1" applyAlignment="1">
      <alignment horizontal="right" vertical="center"/>
    </xf>
    <xf numFmtId="3" fontId="55" fillId="36" borderId="36" xfId="0" applyNumberFormat="1" applyFont="1" applyFill="1" applyBorder="1" applyAlignment="1">
      <alignment vertical="center"/>
    </xf>
    <xf numFmtId="0" fontId="55" fillId="34" borderId="36" xfId="0" applyFont="1" applyFill="1" applyBorder="1" applyAlignment="1">
      <alignment vertical="center"/>
    </xf>
    <xf numFmtId="0" fontId="55" fillId="34" borderId="20" xfId="0" applyFont="1" applyFill="1" applyBorder="1" applyAlignment="1">
      <alignment horizontal="right" vertical="center"/>
    </xf>
    <xf numFmtId="2" fontId="55" fillId="36" borderId="21" xfId="0" applyNumberFormat="1" applyFont="1" applyFill="1" applyBorder="1" applyAlignment="1">
      <alignment vertical="center"/>
    </xf>
    <xf numFmtId="0" fontId="55" fillId="34" borderId="21" xfId="0" applyFont="1" applyFill="1" applyBorder="1" applyAlignment="1">
      <alignment vertical="center"/>
    </xf>
    <xf numFmtId="4" fontId="9" fillId="34" borderId="22" xfId="55" applyNumberFormat="1" applyFont="1" applyFill="1" applyBorder="1" applyAlignment="1">
      <alignment horizontal="right" vertical="center"/>
    </xf>
    <xf numFmtId="169" fontId="2" fillId="36" borderId="27" xfId="0" applyNumberFormat="1" applyFont="1" applyFill="1" applyBorder="1" applyAlignment="1">
      <alignment vertical="center"/>
    </xf>
    <xf numFmtId="0" fontId="9" fillId="36" borderId="0" xfId="0" applyFont="1" applyFill="1" applyBorder="1" applyAlignment="1">
      <alignment vertical="center"/>
    </xf>
    <xf numFmtId="0" fontId="9" fillId="46" borderId="21" xfId="0" applyFont="1" applyFill="1" applyBorder="1" applyAlignment="1">
      <alignment horizontal="right" vertical="center"/>
    </xf>
    <xf numFmtId="165" fontId="9" fillId="36" borderId="21" xfId="0" applyNumberFormat="1" applyFont="1" applyFill="1" applyBorder="1" applyAlignment="1">
      <alignment vertical="center"/>
    </xf>
    <xf numFmtId="0" fontId="9" fillId="46" borderId="21" xfId="0" applyFont="1" applyFill="1" applyBorder="1" applyAlignment="1">
      <alignment vertical="center"/>
    </xf>
    <xf numFmtId="0" fontId="9" fillId="46" borderId="0" xfId="0" applyFont="1" applyFill="1" applyBorder="1" applyAlignment="1">
      <alignment horizontal="right" vertical="center"/>
    </xf>
    <xf numFmtId="170" fontId="14" fillId="36" borderId="0" xfId="0" applyNumberFormat="1" applyFont="1" applyFill="1" applyBorder="1" applyAlignment="1">
      <alignment horizontal="right" vertical="center"/>
    </xf>
    <xf numFmtId="0" fontId="9" fillId="46" borderId="0" xfId="0" applyFont="1" applyFill="1" applyBorder="1" applyAlignment="1">
      <alignment vertical="center"/>
    </xf>
    <xf numFmtId="0" fontId="2" fillId="46" borderId="36" xfId="0" applyFont="1" applyFill="1" applyBorder="1" applyAlignment="1">
      <alignment vertical="center"/>
    </xf>
    <xf numFmtId="170" fontId="2" fillId="0" borderId="0" xfId="0" applyNumberFormat="1" applyFont="1" applyFill="1" applyBorder="1" applyAlignment="1">
      <alignment vertical="center"/>
    </xf>
    <xf numFmtId="4" fontId="2" fillId="0" borderId="0" xfId="0" applyNumberFormat="1" applyFont="1" applyFill="1" applyBorder="1" applyAlignment="1">
      <alignment vertical="center"/>
    </xf>
    <xf numFmtId="2" fontId="2" fillId="36" borderId="0" xfId="0" applyNumberFormat="1" applyFont="1" applyFill="1" applyBorder="1" applyAlignment="1">
      <alignment vertical="center"/>
    </xf>
    <xf numFmtId="0" fontId="9" fillId="46" borderId="20" xfId="0" applyFont="1" applyFill="1" applyBorder="1" applyAlignment="1">
      <alignment horizontal="right" vertical="center"/>
    </xf>
    <xf numFmtId="3" fontId="9" fillId="0" borderId="21" xfId="0" applyNumberFormat="1" applyFont="1" applyFill="1" applyBorder="1" applyAlignment="1">
      <alignment vertical="center"/>
    </xf>
    <xf numFmtId="169" fontId="10" fillId="36" borderId="24" xfId="0" applyNumberFormat="1" applyFont="1" applyFill="1" applyBorder="1" applyAlignment="1">
      <alignment horizontal="right" vertical="center"/>
    </xf>
    <xf numFmtId="167" fontId="55" fillId="34" borderId="19" xfId="0" applyNumberFormat="1" applyFont="1" applyFill="1" applyBorder="1" applyAlignment="1">
      <alignment horizontal="right" vertical="center"/>
    </xf>
    <xf numFmtId="0" fontId="55" fillId="34" borderId="19" xfId="0" applyFont="1" applyFill="1" applyBorder="1" applyAlignment="1">
      <alignment horizontal="right" vertical="center"/>
    </xf>
    <xf numFmtId="169" fontId="55" fillId="36" borderId="0" xfId="0" applyNumberFormat="1" applyFont="1" applyFill="1" applyBorder="1" applyAlignment="1">
      <alignment vertical="center"/>
    </xf>
    <xf numFmtId="0" fontId="9" fillId="34" borderId="0" xfId="0" applyFont="1" applyFill="1" applyBorder="1" applyAlignment="1">
      <alignment vertical="center"/>
    </xf>
    <xf numFmtId="0" fontId="55" fillId="34" borderId="39" xfId="0" applyFont="1" applyFill="1" applyBorder="1" applyAlignment="1">
      <alignment horizontal="right" vertical="center"/>
    </xf>
    <xf numFmtId="169" fontId="55" fillId="36" borderId="40" xfId="0" applyNumberFormat="1" applyFont="1" applyFill="1" applyBorder="1" applyAlignment="1">
      <alignment vertical="center"/>
    </xf>
    <xf numFmtId="0" fontId="55" fillId="34" borderId="40" xfId="0" applyFont="1" applyFill="1" applyBorder="1" applyAlignment="1">
      <alignment vertical="center"/>
    </xf>
    <xf numFmtId="170" fontId="10" fillId="36" borderId="36" xfId="0" applyNumberFormat="1" applyFont="1" applyFill="1" applyBorder="1" applyAlignment="1">
      <alignment vertical="center"/>
    </xf>
    <xf numFmtId="167" fontId="9" fillId="36" borderId="0" xfId="0" applyNumberFormat="1" applyFont="1" applyFill="1" applyBorder="1" applyAlignment="1">
      <alignment vertical="center"/>
    </xf>
    <xf numFmtId="2" fontId="9" fillId="36" borderId="0" xfId="0" applyNumberFormat="1" applyFont="1" applyFill="1" applyBorder="1" applyAlignment="1">
      <alignment vertical="center"/>
    </xf>
    <xf numFmtId="2" fontId="2" fillId="34" borderId="19" xfId="0" applyNumberFormat="1" applyFont="1" applyFill="1" applyBorder="1" applyAlignment="1">
      <alignment horizontal="right" vertical="center"/>
    </xf>
    <xf numFmtId="0" fontId="10" fillId="46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14" fillId="46" borderId="33" xfId="0" applyFont="1" applyFill="1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0" xfId="0" applyAlignment="1">
      <alignment horizontal="center" vertical="center"/>
    </xf>
    <xf numFmtId="0" fontId="14" fillId="34" borderId="41" xfId="0" applyFont="1" applyFill="1" applyBorder="1" applyAlignment="1">
      <alignment horizontal="center" vertical="center"/>
    </xf>
    <xf numFmtId="0" fontId="15" fillId="0" borderId="42" xfId="0" applyFont="1" applyBorder="1" applyAlignment="1">
      <alignment horizontal="center" vertical="center"/>
    </xf>
    <xf numFmtId="0" fontId="15" fillId="0" borderId="43" xfId="0" applyFont="1" applyBorder="1" applyAlignment="1">
      <alignment horizontal="center" vertical="center"/>
    </xf>
    <xf numFmtId="0" fontId="9" fillId="34" borderId="41" xfId="0" applyFont="1" applyFill="1" applyBorder="1" applyAlignment="1">
      <alignment horizontal="center" vertical="center"/>
    </xf>
    <xf numFmtId="0" fontId="2" fillId="34" borderId="42" xfId="0" applyFont="1" applyFill="1" applyBorder="1" applyAlignment="1">
      <alignment vertical="center"/>
    </xf>
    <xf numFmtId="0" fontId="2" fillId="34" borderId="43" xfId="0" applyFont="1" applyFill="1" applyBorder="1" applyAlignment="1">
      <alignment vertical="center"/>
    </xf>
    <xf numFmtId="0" fontId="9" fillId="46" borderId="44" xfId="0" applyFont="1" applyFill="1" applyBorder="1" applyAlignment="1">
      <alignment horizontal="center" vertical="center"/>
    </xf>
    <xf numFmtId="0" fontId="2" fillId="46" borderId="45" xfId="0" applyFont="1" applyFill="1" applyBorder="1" applyAlignment="1">
      <alignment horizontal="center" vertical="center"/>
    </xf>
    <xf numFmtId="0" fontId="2" fillId="46" borderId="46" xfId="0" applyFont="1" applyFill="1" applyBorder="1" applyAlignment="1">
      <alignment horizontal="center" vertical="center"/>
    </xf>
    <xf numFmtId="0" fontId="9" fillId="46" borderId="36" xfId="0" applyFont="1" applyFill="1" applyBorder="1" applyAlignment="1">
      <alignment horizontal="center" vertical="center"/>
    </xf>
    <xf numFmtId="0" fontId="2" fillId="46" borderId="36" xfId="0" applyFont="1" applyFill="1" applyBorder="1" applyAlignment="1">
      <alignment horizontal="center" vertical="center"/>
    </xf>
    <xf numFmtId="0" fontId="2" fillId="34" borderId="47" xfId="0" applyFont="1" applyFill="1" applyBorder="1" applyAlignment="1">
      <alignment horizontal="center"/>
    </xf>
    <xf numFmtId="0" fontId="2" fillId="34" borderId="48" xfId="0" applyFont="1" applyFill="1" applyBorder="1" applyAlignment="1">
      <alignment horizontal="center"/>
    </xf>
    <xf numFmtId="0" fontId="2" fillId="34" borderId="49" xfId="0" applyFont="1" applyFill="1" applyBorder="1" applyAlignment="1">
      <alignment horizontal="center"/>
    </xf>
    <xf numFmtId="0" fontId="9" fillId="34" borderId="10" xfId="0" applyFont="1" applyFill="1" applyBorder="1" applyAlignment="1">
      <alignment horizontal="center"/>
    </xf>
    <xf numFmtId="0" fontId="9" fillId="34" borderId="50" xfId="0" applyFont="1" applyFill="1" applyBorder="1" applyAlignment="1">
      <alignment horizontal="center"/>
    </xf>
    <xf numFmtId="0" fontId="9" fillId="34" borderId="40" xfId="0" applyFont="1" applyFill="1" applyBorder="1" applyAlignment="1">
      <alignment horizontal="center"/>
    </xf>
    <xf numFmtId="0" fontId="9" fillId="34" borderId="51" xfId="0" applyFont="1" applyFill="1" applyBorder="1" applyAlignment="1">
      <alignment horizontal="center"/>
    </xf>
    <xf numFmtId="0" fontId="9" fillId="34" borderId="11" xfId="0" applyFont="1" applyFill="1" applyBorder="1" applyAlignment="1">
      <alignment horizontal="center"/>
    </xf>
    <xf numFmtId="0" fontId="9" fillId="34" borderId="52" xfId="0" applyFont="1" applyFill="1" applyBorder="1" applyAlignment="1">
      <alignment horizontal="center"/>
    </xf>
    <xf numFmtId="0" fontId="9" fillId="34" borderId="53" xfId="0" applyFont="1" applyFill="1" applyBorder="1" applyAlignment="1">
      <alignment horizontal="center"/>
    </xf>
    <xf numFmtId="0" fontId="2" fillId="34" borderId="54" xfId="0" applyFont="1" applyFill="1" applyBorder="1" applyAlignment="1">
      <alignment horizontal="center"/>
    </xf>
    <xf numFmtId="0" fontId="2" fillId="0" borderId="55" xfId="0" applyFont="1" applyBorder="1" applyAlignment="1">
      <alignment horizontal="center"/>
    </xf>
    <xf numFmtId="0" fontId="2" fillId="34" borderId="12" xfId="0" applyFont="1" applyFill="1" applyBorder="1" applyAlignment="1">
      <alignment horizontal="center"/>
    </xf>
    <xf numFmtId="44" fontId="9" fillId="34" borderId="14" xfId="45" applyFont="1" applyFill="1" applyBorder="1" applyAlignment="1">
      <alignment horizontal="center"/>
    </xf>
    <xf numFmtId="44" fontId="9" fillId="34" borderId="13" xfId="45" applyFont="1" applyFill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Tensiones en el condensador y la carga</a:t>
            </a:r>
          </a:p>
        </c:rich>
      </c:tx>
      <c:layout>
        <c:manualLayout>
          <c:xMode val="factor"/>
          <c:yMode val="factor"/>
          <c:x val="-0.00325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04775"/>
          <c:w val="0.9655"/>
          <c:h val="0.930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'FAE zener tipo 1'!$N$1:$N$24</c:f>
              <c:numCache/>
            </c:numRef>
          </c:val>
          <c:smooth val="1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'FAE zener tipo 1'!$M$1:$M$24</c:f>
              <c:numCache/>
            </c:numRef>
          </c:val>
          <c:smooth val="1"/>
        </c:ser>
        <c:marker val="1"/>
        <c:axId val="64899845"/>
        <c:axId val="47227694"/>
      </c:lineChart>
      <c:catAx>
        <c:axId val="64899845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extTo"/>
        <c:crossAx val="47227694"/>
        <c:crosses val="autoZero"/>
        <c:auto val="1"/>
        <c:lblOffset val="100"/>
        <c:tickLblSkip val="1"/>
        <c:noMultiLvlLbl val="0"/>
      </c:catAx>
      <c:valAx>
        <c:axId val="4722769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0.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899845"/>
        <c:crossesAt val="1"/>
        <c:crossBetween val="midCat"/>
        <c:dispUnits/>
        <c:minorUnit val="1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5.png" /><Relationship Id="rId4" Type="http://schemas.openxmlformats.org/officeDocument/2006/relationships/image" Target="../media/image6.png" /><Relationship Id="rId5" Type="http://schemas.openxmlformats.org/officeDocument/2006/relationships/image" Target="../media/image7.png" /><Relationship Id="rId6" Type="http://schemas.openxmlformats.org/officeDocument/2006/relationships/image" Target="../media/image8.png" /><Relationship Id="rId7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5.png" /><Relationship Id="rId4" Type="http://schemas.openxmlformats.org/officeDocument/2006/relationships/image" Target="../media/image6.png" /><Relationship Id="rId5" Type="http://schemas.openxmlformats.org/officeDocument/2006/relationships/image" Target="../media/image7.png" /><Relationship Id="rId6" Type="http://schemas.openxmlformats.org/officeDocument/2006/relationships/image" Target="../media/image10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9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57150</xdr:colOff>
      <xdr:row>0</xdr:row>
      <xdr:rowOff>38100</xdr:rowOff>
    </xdr:from>
    <xdr:to>
      <xdr:col>7</xdr:col>
      <xdr:colOff>428625</xdr:colOff>
      <xdr:row>9</xdr:row>
      <xdr:rowOff>114300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38100"/>
          <a:ext cx="3000375" cy="1533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619125</xdr:colOff>
      <xdr:row>13</xdr:row>
      <xdr:rowOff>28575</xdr:rowOff>
    </xdr:from>
    <xdr:to>
      <xdr:col>17</xdr:col>
      <xdr:colOff>276225</xdr:colOff>
      <xdr:row>16</xdr:row>
      <xdr:rowOff>133350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39675" y="2133600"/>
          <a:ext cx="1181100" cy="5905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15</xdr:col>
      <xdr:colOff>638175</xdr:colOff>
      <xdr:row>5</xdr:row>
      <xdr:rowOff>142875</xdr:rowOff>
    </xdr:from>
    <xdr:to>
      <xdr:col>17</xdr:col>
      <xdr:colOff>152400</xdr:colOff>
      <xdr:row>10</xdr:row>
      <xdr:rowOff>76200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658725" y="952500"/>
          <a:ext cx="1038225" cy="7429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15</xdr:col>
      <xdr:colOff>476250</xdr:colOff>
      <xdr:row>1</xdr:row>
      <xdr:rowOff>19050</xdr:rowOff>
    </xdr:from>
    <xdr:to>
      <xdr:col>17</xdr:col>
      <xdr:colOff>523875</xdr:colOff>
      <xdr:row>3</xdr:row>
      <xdr:rowOff>28575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496800" y="180975"/>
          <a:ext cx="1571625" cy="3333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15</xdr:col>
      <xdr:colOff>47625</xdr:colOff>
      <xdr:row>20</xdr:row>
      <xdr:rowOff>95250</xdr:rowOff>
    </xdr:from>
    <xdr:to>
      <xdr:col>18</xdr:col>
      <xdr:colOff>266700</xdr:colOff>
      <xdr:row>26</xdr:row>
      <xdr:rowOff>66675</xdr:rowOff>
    </xdr:to>
    <xdr:pic>
      <xdr:nvPicPr>
        <xdr:cNvPr id="4" name="Picture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068175" y="3333750"/>
          <a:ext cx="2505075" cy="942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15</xdr:col>
      <xdr:colOff>276225</xdr:colOff>
      <xdr:row>30</xdr:row>
      <xdr:rowOff>104775</xdr:rowOff>
    </xdr:from>
    <xdr:to>
      <xdr:col>18</xdr:col>
      <xdr:colOff>76200</xdr:colOff>
      <xdr:row>37</xdr:row>
      <xdr:rowOff>95250</xdr:rowOff>
    </xdr:to>
    <xdr:pic>
      <xdr:nvPicPr>
        <xdr:cNvPr id="5" name="Picture 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296775" y="4962525"/>
          <a:ext cx="2085975" cy="11239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104775</xdr:colOff>
      <xdr:row>0</xdr:row>
      <xdr:rowOff>47625</xdr:rowOff>
    </xdr:from>
    <xdr:to>
      <xdr:col>7</xdr:col>
      <xdr:colOff>619125</xdr:colOff>
      <xdr:row>9</xdr:row>
      <xdr:rowOff>114300</xdr:rowOff>
    </xdr:to>
    <xdr:pic>
      <xdr:nvPicPr>
        <xdr:cNvPr id="6" name="Picture 1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990725" y="47625"/>
          <a:ext cx="3971925" cy="1524000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5</xdr:col>
      <xdr:colOff>9525</xdr:colOff>
      <xdr:row>12</xdr:row>
      <xdr:rowOff>123825</xdr:rowOff>
    </xdr:from>
    <xdr:to>
      <xdr:col>11</xdr:col>
      <xdr:colOff>666750</xdr:colOff>
      <xdr:row>40</xdr:row>
      <xdr:rowOff>85725</xdr:rowOff>
    </xdr:to>
    <xdr:graphicFrame>
      <xdr:nvGraphicFramePr>
        <xdr:cNvPr id="7" name="Gráfico 11"/>
        <xdr:cNvGraphicFramePr/>
      </xdr:nvGraphicFramePr>
      <xdr:xfrm>
        <a:off x="3705225" y="2066925"/>
        <a:ext cx="5734050" cy="44958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1009650</xdr:colOff>
      <xdr:row>16</xdr:row>
      <xdr:rowOff>47625</xdr:rowOff>
    </xdr:from>
    <xdr:to>
      <xdr:col>13</xdr:col>
      <xdr:colOff>219075</xdr:colOff>
      <xdr:row>19</xdr:row>
      <xdr:rowOff>152400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34600" y="2638425"/>
          <a:ext cx="1181100" cy="5905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11</xdr:col>
      <xdr:colOff>923925</xdr:colOff>
      <xdr:row>8</xdr:row>
      <xdr:rowOff>38100</xdr:rowOff>
    </xdr:from>
    <xdr:to>
      <xdr:col>12</xdr:col>
      <xdr:colOff>752475</xdr:colOff>
      <xdr:row>12</xdr:row>
      <xdr:rowOff>133350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48875" y="1333500"/>
          <a:ext cx="1038225" cy="7429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11</xdr:col>
      <xdr:colOff>657225</xdr:colOff>
      <xdr:row>2</xdr:row>
      <xdr:rowOff>0</xdr:rowOff>
    </xdr:from>
    <xdr:to>
      <xdr:col>13</xdr:col>
      <xdr:colOff>257175</xdr:colOff>
      <xdr:row>4</xdr:row>
      <xdr:rowOff>9525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782175" y="323850"/>
          <a:ext cx="1571625" cy="3333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11</xdr:col>
      <xdr:colOff>152400</xdr:colOff>
      <xdr:row>25</xdr:row>
      <xdr:rowOff>9525</xdr:rowOff>
    </xdr:from>
    <xdr:to>
      <xdr:col>13</xdr:col>
      <xdr:colOff>685800</xdr:colOff>
      <xdr:row>31</xdr:row>
      <xdr:rowOff>28575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277350" y="4029075"/>
          <a:ext cx="2505075" cy="942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11</xdr:col>
      <xdr:colOff>161925</xdr:colOff>
      <xdr:row>33</xdr:row>
      <xdr:rowOff>85725</xdr:rowOff>
    </xdr:from>
    <xdr:to>
      <xdr:col>13</xdr:col>
      <xdr:colOff>276225</xdr:colOff>
      <xdr:row>40</xdr:row>
      <xdr:rowOff>76200</xdr:rowOff>
    </xdr:to>
    <xdr:pic>
      <xdr:nvPicPr>
        <xdr:cNvPr id="5" name="Picture 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286875" y="5353050"/>
          <a:ext cx="2085975" cy="11239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123825</xdr:rowOff>
    </xdr:from>
    <xdr:to>
      <xdr:col>7</xdr:col>
      <xdr:colOff>523875</xdr:colOff>
      <xdr:row>10</xdr:row>
      <xdr:rowOff>142875</xdr:rowOff>
    </xdr:to>
    <xdr:pic>
      <xdr:nvPicPr>
        <xdr:cNvPr id="6" name="Picture 1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047875" y="123825"/>
          <a:ext cx="4162425" cy="1638300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oleObject" Target="../embeddings/oleObject_0_1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6"/>
  </sheetPr>
  <dimension ref="B1:H26"/>
  <sheetViews>
    <sheetView tabSelected="1" workbookViewId="0" topLeftCell="A1">
      <selection activeCell="C14" sqref="C14"/>
    </sheetView>
  </sheetViews>
  <sheetFormatPr defaultColWidth="7.7109375" defaultRowHeight="12.75" customHeight="1"/>
  <cols>
    <col min="1" max="1" width="1.7109375" style="96" customWidth="1"/>
    <col min="2" max="2" width="31.421875" style="96" customWidth="1"/>
    <col min="3" max="5" width="7.7109375" style="96" customWidth="1"/>
    <col min="6" max="6" width="8.57421875" style="96" customWidth="1"/>
    <col min="7" max="16384" width="7.7109375" style="96" customWidth="1"/>
  </cols>
  <sheetData>
    <row r="1" ht="12.75" customHeight="1">
      <c r="B1" s="95" t="s">
        <v>3</v>
      </c>
    </row>
    <row r="2" ht="12.75" customHeight="1">
      <c r="B2" s="97">
        <f ca="1">NOW()</f>
        <v>41311.720849537036</v>
      </c>
    </row>
    <row r="6" ht="12.75" customHeight="1">
      <c r="B6" s="16" t="s">
        <v>246</v>
      </c>
    </row>
    <row r="7" ht="12.75" customHeight="1">
      <c r="B7" s="95"/>
    </row>
    <row r="11" spans="2:4" ht="12.75" customHeight="1">
      <c r="B11" s="205" t="s">
        <v>245</v>
      </c>
      <c r="C11" s="206"/>
      <c r="D11" s="207"/>
    </row>
    <row r="12" spans="2:4" ht="12.75" customHeight="1">
      <c r="B12" s="99" t="s">
        <v>248</v>
      </c>
      <c r="C12" s="100">
        <v>12</v>
      </c>
      <c r="D12" s="101" t="s">
        <v>6</v>
      </c>
    </row>
    <row r="13" spans="2:7" ht="12.75" customHeight="1">
      <c r="B13" s="99" t="s">
        <v>249</v>
      </c>
      <c r="C13" s="102">
        <v>13.3</v>
      </c>
      <c r="D13" s="101" t="s">
        <v>243</v>
      </c>
      <c r="E13" s="203" t="str">
        <f>"RLoad = "&amp;FIXED(C12/(C13/1000),0)&amp;"Ω  @  "&amp;FIXED(C12*(C13/1000),2)&amp;"W"</f>
        <v>RLoad = 902Ω  @  0,16W</v>
      </c>
      <c r="F13" s="204"/>
      <c r="G13" s="204"/>
    </row>
    <row r="14" spans="2:4" ht="12.75" customHeight="1">
      <c r="B14" s="103" t="s">
        <v>247</v>
      </c>
      <c r="C14" s="98">
        <v>17</v>
      </c>
      <c r="D14" s="104" t="s">
        <v>6</v>
      </c>
    </row>
    <row r="15" spans="2:4" ht="12.75" customHeight="1">
      <c r="B15" s="99" t="s">
        <v>254</v>
      </c>
      <c r="C15" s="102">
        <v>12</v>
      </c>
      <c r="D15" s="101" t="s">
        <v>6</v>
      </c>
    </row>
    <row r="16" spans="2:4" ht="12.75" customHeight="1">
      <c r="B16" s="99" t="s">
        <v>253</v>
      </c>
      <c r="C16" s="102">
        <v>10</v>
      </c>
      <c r="D16" s="101" t="s">
        <v>2</v>
      </c>
    </row>
    <row r="17" spans="2:6" ht="12.75" customHeight="1">
      <c r="B17" s="99" t="s">
        <v>255</v>
      </c>
      <c r="C17" s="102">
        <v>75</v>
      </c>
      <c r="D17" s="101" t="s">
        <v>243</v>
      </c>
      <c r="E17" s="95"/>
      <c r="F17" s="95"/>
    </row>
    <row r="18" spans="2:8" ht="12.75" customHeight="1">
      <c r="B18" s="99" t="s">
        <v>256</v>
      </c>
      <c r="C18" s="105">
        <v>40</v>
      </c>
      <c r="D18" s="101" t="s">
        <v>250</v>
      </c>
      <c r="E18" s="203" t="str">
        <f>"IDZ = "&amp;FIXED(C17*(C18/100),2)&amp;"mA"</f>
        <v>IDZ = 30,00mA</v>
      </c>
      <c r="F18" s="208"/>
      <c r="G18" s="121" t="str">
        <f>IF(C18&gt;=91,"Excesivo",IF(C18&lt;10,"Pequeño","Ok"))</f>
        <v>Ok</v>
      </c>
      <c r="H18" s="108">
        <f>C17*(C18/100)</f>
        <v>30</v>
      </c>
    </row>
    <row r="19" spans="2:6" ht="12.75" customHeight="1">
      <c r="B19" s="103" t="s">
        <v>251</v>
      </c>
      <c r="C19" s="106">
        <v>0.5</v>
      </c>
      <c r="D19" s="104" t="s">
        <v>16</v>
      </c>
      <c r="E19" s="95"/>
      <c r="F19" s="107"/>
    </row>
    <row r="21" spans="2:4" ht="12.75" customHeight="1" thickBot="1">
      <c r="B21" s="209" t="s">
        <v>241</v>
      </c>
      <c r="C21" s="210"/>
      <c r="D21" s="211"/>
    </row>
    <row r="22" spans="2:4" ht="12.75" customHeight="1" thickTop="1">
      <c r="B22" s="109" t="s">
        <v>21</v>
      </c>
      <c r="C22" s="110">
        <f>C12+(7*(H18/1000))</f>
        <v>12.21</v>
      </c>
      <c r="D22" s="111" t="s">
        <v>6</v>
      </c>
    </row>
    <row r="23" spans="2:6" ht="12.75" customHeight="1">
      <c r="B23" s="112" t="s">
        <v>257</v>
      </c>
      <c r="C23" s="113">
        <f>C22*(H18/1000)</f>
        <v>0.3663</v>
      </c>
      <c r="D23" s="114" t="s">
        <v>16</v>
      </c>
      <c r="E23" s="115">
        <f>C23/C19</f>
        <v>0.7326</v>
      </c>
      <c r="F23" s="121" t="str">
        <f>IF(C23&lt;=C19,"Ok","Excesiva")</f>
        <v>Ok</v>
      </c>
    </row>
    <row r="24" spans="2:4" ht="12.75" customHeight="1">
      <c r="B24" s="116" t="s">
        <v>252</v>
      </c>
      <c r="C24" s="118">
        <f>C13+H18</f>
        <v>43.3</v>
      </c>
      <c r="D24" s="117" t="s">
        <v>243</v>
      </c>
    </row>
    <row r="25" spans="2:5" ht="12.75" customHeight="1">
      <c r="B25" s="112" t="s">
        <v>10</v>
      </c>
      <c r="C25" s="119">
        <f>(C14-C22)/(C24/1000)</f>
        <v>110.62355658198612</v>
      </c>
      <c r="D25" s="114" t="s">
        <v>2</v>
      </c>
      <c r="E25" s="120" t="str">
        <f>FIXED((C14-C22)*(C24/1000),3)&amp;" W"</f>
        <v>0,207 W</v>
      </c>
    </row>
    <row r="26" spans="2:6" ht="12.75" customHeight="1">
      <c r="B26" s="123" t="s">
        <v>258</v>
      </c>
      <c r="C26" s="98">
        <f>((C14-C15)/(C25+C16))*1000</f>
        <v>41.45127321462762</v>
      </c>
      <c r="D26" s="124" t="s">
        <v>243</v>
      </c>
      <c r="E26" s="122">
        <f>C26/C17</f>
        <v>0.5526836428617016</v>
      </c>
      <c r="F26" s="121" t="str">
        <f>IF(C26&lt;C17,"Sí","No")</f>
        <v>Sí</v>
      </c>
    </row>
  </sheetData>
  <sheetProtection/>
  <mergeCells count="4">
    <mergeCell ref="E13:G13"/>
    <mergeCell ref="B11:D11"/>
    <mergeCell ref="E18:F18"/>
    <mergeCell ref="B21:D21"/>
  </mergeCells>
  <printOptions horizontalCentered="1"/>
  <pageMargins left="0.1968503937007874" right="0.1968503937007874" top="0.984251968503937" bottom="0.1968503937007874" header="0" footer="0"/>
  <pageSetup horizontalDpi="600" verticalDpi="600" orientation="landscape" paperSize="9" r:id="rId6"/>
  <drawing r:id="rId5"/>
  <legacyDrawing r:id="rId4"/>
  <oleObjects>
    <oleObject progId="Equation.DSMT4" shapeId="2204415" r:id="rId2"/>
    <oleObject progId="Equation.DSMT4" shapeId="2205777" r:id="rId3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4">
    <tabColor indexed="17"/>
  </sheetPr>
  <dimension ref="A1:O49"/>
  <sheetViews>
    <sheetView showGridLines="0" workbookViewId="0" topLeftCell="A1">
      <selection activeCell="B18" sqref="B18"/>
    </sheetView>
  </sheetViews>
  <sheetFormatPr defaultColWidth="11.421875" defaultRowHeight="12.75" customHeight="1"/>
  <cols>
    <col min="1" max="1" width="28.28125" style="2" customWidth="1"/>
    <col min="2" max="2" width="9.57421875" style="2" customWidth="1"/>
    <col min="3" max="3" width="5.421875" style="2" customWidth="1"/>
    <col min="4" max="4" width="8.8515625" style="2" customWidth="1"/>
    <col min="5" max="5" width="3.28125" style="2" customWidth="1"/>
    <col min="6" max="6" width="12.57421875" style="2" customWidth="1"/>
    <col min="7" max="7" width="12.140625" style="2" customWidth="1"/>
    <col min="8" max="8" width="13.28125" style="2" customWidth="1"/>
    <col min="9" max="9" width="15.28125" style="2" customWidth="1"/>
    <col min="10" max="12" width="11.421875" style="2" customWidth="1"/>
    <col min="13" max="13" width="14.57421875" style="2" customWidth="1"/>
    <col min="14" max="14" width="11.28125" style="2" customWidth="1"/>
    <col min="15" max="16384" width="11.421875" style="2" customWidth="1"/>
  </cols>
  <sheetData>
    <row r="1" spans="1:15" ht="12.75" customHeight="1">
      <c r="A1" s="55" t="s">
        <v>3</v>
      </c>
      <c r="B1" s="3"/>
      <c r="C1" s="3"/>
      <c r="D1" s="3"/>
      <c r="E1" s="3"/>
      <c r="F1" s="3"/>
      <c r="G1" s="3"/>
      <c r="H1" s="3"/>
      <c r="I1" s="3"/>
      <c r="J1" s="3"/>
      <c r="K1" s="3"/>
      <c r="L1" s="9"/>
      <c r="M1" s="126">
        <v>0</v>
      </c>
      <c r="N1" s="126">
        <v>0</v>
      </c>
      <c r="O1" s="60"/>
    </row>
    <row r="2" spans="1:15" ht="12.75" customHeight="1">
      <c r="A2" s="58">
        <f ca="1">NOW()</f>
        <v>41311.720849537036</v>
      </c>
      <c r="B2" s="3"/>
      <c r="C2" s="3"/>
      <c r="D2" s="3"/>
      <c r="E2" s="3"/>
      <c r="F2" s="3"/>
      <c r="G2" s="3"/>
      <c r="H2" s="3"/>
      <c r="I2" s="3"/>
      <c r="J2" s="3"/>
      <c r="K2" s="3"/>
      <c r="L2" s="9"/>
      <c r="M2" s="126">
        <f>(B29/1.7)+(B37*SIN(RADIANS(0)))-(B37/2)</f>
        <v>7.084947904942552</v>
      </c>
      <c r="N2" s="126">
        <f>B26*SIN(RADIANS(20))</f>
        <v>6.776514678783322</v>
      </c>
      <c r="O2" s="60"/>
    </row>
    <row r="3" spans="1:15" ht="12.7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126">
        <f>(B29/0.998)+(B37*SIN(RADIANS(0)))-(B37/2)</f>
        <v>12.07798330968682</v>
      </c>
      <c r="N3" s="126">
        <f>B26*SIN(RADIANS(40))</f>
        <v>12.735681676600155</v>
      </c>
      <c r="O3" s="60"/>
    </row>
    <row r="4" spans="1:15" ht="12.75" customHeight="1">
      <c r="A4" s="59"/>
      <c r="B4" s="12"/>
      <c r="C4" s="3"/>
      <c r="D4" s="3"/>
      <c r="E4" s="3"/>
      <c r="F4" s="3"/>
      <c r="G4" s="3"/>
      <c r="H4" s="3"/>
      <c r="I4" s="3"/>
      <c r="J4" s="3"/>
      <c r="K4" s="3"/>
      <c r="L4" s="3"/>
      <c r="M4" s="126">
        <f>B29+(B37*SIN(RADIANS(30)))-(B37/2)</f>
        <v>12.067213486736645</v>
      </c>
      <c r="N4" s="126">
        <f>B26*SIN(RADIANS(57))</f>
        <v>16.616750578149883</v>
      </c>
      <c r="O4" s="60"/>
    </row>
    <row r="5" spans="1:15" ht="12.75" customHeight="1">
      <c r="A5" s="59"/>
      <c r="B5" s="15"/>
      <c r="C5" s="3"/>
      <c r="D5" s="3"/>
      <c r="E5" s="3"/>
      <c r="F5" s="3"/>
      <c r="G5" s="3"/>
      <c r="H5" s="3"/>
      <c r="I5" s="3"/>
      <c r="J5" s="3"/>
      <c r="K5" s="3"/>
      <c r="L5" s="3"/>
      <c r="M5" s="126">
        <f>B29+(B37*SIN(RADIANS(60)))-(B37/2)</f>
        <v>12.077032461970381</v>
      </c>
      <c r="N5" s="126">
        <f>B26*SIN(RADIANS(73))</f>
        <v>18.947460676324017</v>
      </c>
      <c r="O5" s="60"/>
    </row>
    <row r="6" spans="1:15" ht="12.75" customHeight="1">
      <c r="A6" s="16" t="s">
        <v>4</v>
      </c>
      <c r="B6" s="15"/>
      <c r="C6" s="3"/>
      <c r="D6" s="3"/>
      <c r="E6" s="3"/>
      <c r="F6" s="3"/>
      <c r="G6" s="3"/>
      <c r="H6" s="3"/>
      <c r="I6" s="3"/>
      <c r="J6" s="3"/>
      <c r="K6" s="3"/>
      <c r="L6" s="3"/>
      <c r="M6" s="126">
        <f>B29+(B37*SIN(RADIANS(90)))-(B37/2)</f>
        <v>12.08062645634506</v>
      </c>
      <c r="N6" s="126">
        <f>B26*SIN(RADIANS(90))</f>
        <v>19.813203435596428</v>
      </c>
      <c r="O6" s="60"/>
    </row>
    <row r="7" spans="1:15" ht="12.75" customHeight="1">
      <c r="A7" s="16" t="s">
        <v>35</v>
      </c>
      <c r="B7" s="15"/>
      <c r="C7" s="3"/>
      <c r="D7" s="3"/>
      <c r="E7" s="3"/>
      <c r="F7" s="3"/>
      <c r="G7" s="3"/>
      <c r="H7" s="3"/>
      <c r="I7" s="3"/>
      <c r="J7" s="3"/>
      <c r="K7" s="3"/>
      <c r="L7" s="3"/>
      <c r="M7" s="126">
        <f>B29+(B37*SIN(RADIANS(120)))-(B37/2)</f>
        <v>12.077032461970381</v>
      </c>
      <c r="N7" s="126">
        <f>B26*SIN(RADIANS(90))-(B36/10)</f>
        <v>19.766258041966974</v>
      </c>
      <c r="O7" s="60"/>
    </row>
    <row r="8" spans="1:15" ht="12.75" customHeight="1">
      <c r="A8" s="125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126">
        <f>B29+(B37*SIN(RADIANS(150)))-(B37/2)</f>
        <v>12.067213486736645</v>
      </c>
      <c r="N8" s="126">
        <f>B26*SIN(RADIANS(90))-(B36/2)</f>
        <v>19.57847646744916</v>
      </c>
      <c r="O8" s="60"/>
    </row>
    <row r="9" spans="1:15" ht="12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126">
        <f>B29+(B37*SIN(RADIANS(180)))-(B37/2)</f>
        <v>12.053800517128229</v>
      </c>
      <c r="N9" s="126">
        <f>B26*SIN(RADIANS(90))-(B36/1.2)</f>
        <v>19.421991822017652</v>
      </c>
      <c r="O9" s="60"/>
    </row>
    <row r="10" spans="1:15" ht="12.7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126">
        <f>B29+(B37*SIN(RADIANS(30)))-(B37/2)</f>
        <v>12.067213486736645</v>
      </c>
      <c r="N10" s="126">
        <f>B26*SIN(RADIANS(90))-B36</f>
        <v>19.343749499301897</v>
      </c>
      <c r="O10" s="60"/>
    </row>
    <row r="11" spans="1:15" ht="12.75" customHeight="1">
      <c r="A11" s="3"/>
      <c r="B11" s="3"/>
      <c r="C11" s="3"/>
      <c r="D11" s="3"/>
      <c r="E11" s="5"/>
      <c r="F11" s="62" t="s">
        <v>28</v>
      </c>
      <c r="G11" s="62" t="s">
        <v>29</v>
      </c>
      <c r="H11" s="62" t="s">
        <v>32</v>
      </c>
      <c r="I11" s="62" t="s">
        <v>34</v>
      </c>
      <c r="J11" s="3"/>
      <c r="K11" s="3"/>
      <c r="L11" s="3"/>
      <c r="M11" s="126">
        <f>B29+(B37*SIN(RADIANS(60)))-(B37/2)</f>
        <v>12.077032461970381</v>
      </c>
      <c r="N11" s="126">
        <f>IF(B26*SIN(RADIANS(60))&gt;N10,B26*SIN(RADIANS(60)),N10)</f>
        <v>19.343749499301897</v>
      </c>
      <c r="O11" s="60"/>
    </row>
    <row r="12" spans="1:15" ht="12.75" customHeight="1">
      <c r="A12" s="3"/>
      <c r="B12" s="3"/>
      <c r="C12" s="3"/>
      <c r="D12" s="3"/>
      <c r="E12" s="5"/>
      <c r="F12" s="63" t="str">
        <f>IF(B28&lt;0.0015,"SI","No")</f>
        <v>No</v>
      </c>
      <c r="G12" s="63" t="str">
        <f>IF(B35&gt;B18,"SI","No")</f>
        <v>No</v>
      </c>
      <c r="H12" s="63" t="str">
        <f>IF(B30&gt;B22,"SI","No")</f>
        <v>No</v>
      </c>
      <c r="I12" s="63" t="str">
        <f>IF(B26*SIN(RADIANS(90))-(B36/2)&lt;B29,"SI","No")</f>
        <v>No</v>
      </c>
      <c r="J12" s="3"/>
      <c r="K12" s="3"/>
      <c r="L12" s="3"/>
      <c r="M12" s="126">
        <f>B29+(B37*SIN(RADIANS(90)))-(B37/2)</f>
        <v>12.08062645634506</v>
      </c>
      <c r="N12" s="126">
        <f>IF(B26*SIN(RADIANS(73))&gt;N10,B26*SIN(RADIANS(73)),N10)</f>
        <v>19.343749499301897</v>
      </c>
      <c r="O12" s="60"/>
    </row>
    <row r="13" spans="1:15" ht="12.75" customHeight="1">
      <c r="A13" s="215" t="s">
        <v>261</v>
      </c>
      <c r="B13" s="216"/>
      <c r="C13" s="216"/>
      <c r="D13" s="217"/>
      <c r="E13" s="4"/>
      <c r="F13" s="3"/>
      <c r="G13" s="3"/>
      <c r="H13" s="3"/>
      <c r="I13" s="3"/>
      <c r="J13" s="3"/>
      <c r="K13" s="3"/>
      <c r="L13" s="3"/>
      <c r="M13" s="126">
        <f>B29+(B37*SIN(RADIANS(120)))-(B37/2)</f>
        <v>12.077032461970381</v>
      </c>
      <c r="N13" s="126">
        <f>B26*SIN(RADIANS(90))</f>
        <v>19.813203435596428</v>
      </c>
      <c r="O13" s="60"/>
    </row>
    <row r="14" spans="1:15" ht="12.75" customHeight="1">
      <c r="A14" s="64" t="s">
        <v>19</v>
      </c>
      <c r="B14" s="187">
        <v>15</v>
      </c>
      <c r="C14" s="65" t="s">
        <v>9</v>
      </c>
      <c r="D14" s="66"/>
      <c r="E14" s="5"/>
      <c r="F14" s="3"/>
      <c r="G14" s="3"/>
      <c r="H14" s="3"/>
      <c r="I14" s="3"/>
      <c r="J14" s="3"/>
      <c r="K14" s="3"/>
      <c r="L14" s="3"/>
      <c r="M14" s="126">
        <f>B29+(B37*SIN(RADIANS(150)))-(B37/2)</f>
        <v>12.067213486736645</v>
      </c>
      <c r="N14" s="126">
        <f>IF(B26*SIN(RADIANS(90))-(B36/10)&gt;N10,B26*SIN(RADIANS(90))-(B36/10),N10)</f>
        <v>19.766258041966974</v>
      </c>
      <c r="O14" s="60"/>
    </row>
    <row r="15" spans="1:15" ht="12.75" customHeight="1">
      <c r="A15" s="64" t="s">
        <v>5</v>
      </c>
      <c r="B15" s="67">
        <v>50</v>
      </c>
      <c r="C15" s="65" t="s">
        <v>0</v>
      </c>
      <c r="D15" s="66"/>
      <c r="E15" s="5"/>
      <c r="F15" s="3"/>
      <c r="G15" s="3"/>
      <c r="H15" s="3"/>
      <c r="I15" s="3"/>
      <c r="J15" s="3"/>
      <c r="K15" s="3"/>
      <c r="L15" s="3"/>
      <c r="M15" s="126">
        <f>B29+(B37*SIN(RADIANS(180)))-(B37/2)</f>
        <v>12.053800517128229</v>
      </c>
      <c r="N15" s="126">
        <f>IF(B26*SIN(RADIANS(90))-(B36/2)&gt;N10,B26*SIN(RADIANS(90))-(B36/2),N10)</f>
        <v>19.57847646744916</v>
      </c>
      <c r="O15" s="60"/>
    </row>
    <row r="16" spans="1:15" ht="12.75" customHeight="1">
      <c r="A16" s="189" t="s">
        <v>12</v>
      </c>
      <c r="B16" s="190">
        <v>500</v>
      </c>
      <c r="C16" s="181" t="s">
        <v>30</v>
      </c>
      <c r="D16" s="70"/>
      <c r="E16" s="7"/>
      <c r="F16" s="3"/>
      <c r="G16" s="3"/>
      <c r="H16" s="3"/>
      <c r="I16" s="3"/>
      <c r="J16" s="3"/>
      <c r="K16" s="3"/>
      <c r="L16" s="3"/>
      <c r="M16" s="126">
        <f>B29+(B37*SIN(RADIANS(30)))-(B37/2)</f>
        <v>12.067213486736645</v>
      </c>
      <c r="N16" s="126">
        <f>IF(B26*SIN(RADIANS(90))-(B36/1.2)&gt;N10,B26*SIN(RADIANS(90))-(B36/1.2),N10)</f>
        <v>19.421991822017652</v>
      </c>
      <c r="O16" s="60"/>
    </row>
    <row r="17" spans="1:15" ht="12.75" customHeight="1">
      <c r="A17" s="189" t="s">
        <v>10</v>
      </c>
      <c r="B17" s="190">
        <v>330</v>
      </c>
      <c r="C17" s="181" t="s">
        <v>2</v>
      </c>
      <c r="D17" s="70"/>
      <c r="E17" s="7"/>
      <c r="F17" s="3"/>
      <c r="G17" s="3"/>
      <c r="H17" s="3"/>
      <c r="I17" s="3"/>
      <c r="J17" s="3"/>
      <c r="K17" s="3"/>
      <c r="L17" s="3"/>
      <c r="M17" s="126">
        <f>B29+(B37*SIN(RADIANS(60)))-(B37/2)</f>
        <v>12.077032461970381</v>
      </c>
      <c r="N17" s="126">
        <f>B26*SIN(RADIANS(90))-B36</f>
        <v>19.343749499301897</v>
      </c>
      <c r="O17" s="60"/>
    </row>
    <row r="18" spans="1:15" ht="12.75" customHeight="1">
      <c r="A18" s="64" t="s">
        <v>31</v>
      </c>
      <c r="B18" s="71">
        <v>0.25</v>
      </c>
      <c r="C18" s="65" t="s">
        <v>16</v>
      </c>
      <c r="D18" s="66"/>
      <c r="E18" s="5"/>
      <c r="F18" s="3"/>
      <c r="G18" s="3"/>
      <c r="H18" s="3"/>
      <c r="I18" s="3"/>
      <c r="J18" s="3"/>
      <c r="K18" s="3"/>
      <c r="L18" s="3"/>
      <c r="M18" s="126">
        <f>B29+(B37*SIN(RADIANS(90)))-(B37/2)</f>
        <v>12.08062645634506</v>
      </c>
      <c r="N18" s="126">
        <f>IF(B26*SIN(RADIANS(60))&gt;N10,B26*SIN(RADIANS(60)),N10)</f>
        <v>19.343749499301897</v>
      </c>
      <c r="O18" s="60"/>
    </row>
    <row r="19" spans="1:15" ht="12.75" customHeight="1">
      <c r="A19" s="68" t="s">
        <v>38</v>
      </c>
      <c r="B19" s="72">
        <v>12</v>
      </c>
      <c r="C19" s="69" t="s">
        <v>6</v>
      </c>
      <c r="D19" s="70"/>
      <c r="E19" s="7"/>
      <c r="F19" s="3"/>
      <c r="G19" s="3"/>
      <c r="H19" s="3"/>
      <c r="I19" s="3"/>
      <c r="J19" s="3"/>
      <c r="K19" s="3"/>
      <c r="L19" s="3"/>
      <c r="M19" s="126">
        <f>B29+(B37*SIN(RADIANS(120)))-(B37/2)</f>
        <v>12.077032461970381</v>
      </c>
      <c r="N19" s="126">
        <f>IF(B26*SIN(RADIANS(73))&gt;N10,B26*SIN(RADIANS(73)),N10)</f>
        <v>19.343749499301897</v>
      </c>
      <c r="O19" s="60"/>
    </row>
    <row r="20" spans="1:15" ht="12.75" customHeight="1">
      <c r="A20" s="64" t="s">
        <v>13</v>
      </c>
      <c r="B20" s="67">
        <v>20</v>
      </c>
      <c r="C20" s="65" t="s">
        <v>2</v>
      </c>
      <c r="D20" s="66"/>
      <c r="E20" s="5"/>
      <c r="F20" s="3"/>
      <c r="G20" s="3"/>
      <c r="H20" s="3"/>
      <c r="I20" s="3"/>
      <c r="J20" s="3"/>
      <c r="K20" s="3"/>
      <c r="L20" s="3"/>
      <c r="M20" s="126">
        <f>B29+(B37*SIN(RADIANS(150)))-(B37/2)</f>
        <v>12.067213486736645</v>
      </c>
      <c r="N20" s="126">
        <f>B26*SIN(RADIANS(90))</f>
        <v>19.813203435596428</v>
      </c>
      <c r="O20" s="60"/>
    </row>
    <row r="21" spans="1:15" ht="12.75" customHeight="1">
      <c r="A21" s="64" t="s">
        <v>14</v>
      </c>
      <c r="B21" s="73">
        <v>32</v>
      </c>
      <c r="C21" s="65" t="s">
        <v>243</v>
      </c>
      <c r="D21" s="66"/>
      <c r="E21" s="5"/>
      <c r="F21" s="3"/>
      <c r="G21" s="3"/>
      <c r="H21" s="3"/>
      <c r="I21" s="3"/>
      <c r="J21" s="3"/>
      <c r="K21" s="3"/>
      <c r="L21" s="3"/>
      <c r="M21" s="126">
        <f>B29+(B37*SIN(RADIANS(180)))-(B37/2)</f>
        <v>12.053800517128229</v>
      </c>
      <c r="N21" s="126">
        <f>IF(B26*SIN(RADIANS(90))-(B36/10)&gt;N10,B26*SIN(RADIANS(90))-(B36/10),N10)</f>
        <v>19.766258041966974</v>
      </c>
      <c r="O21" s="60"/>
    </row>
    <row r="22" spans="1:15" ht="12.75" customHeight="1">
      <c r="A22" s="64" t="s">
        <v>251</v>
      </c>
      <c r="B22" s="186">
        <v>0.5</v>
      </c>
      <c r="C22" s="65" t="s">
        <v>16</v>
      </c>
      <c r="D22" s="66"/>
      <c r="E22" s="5"/>
      <c r="F22" s="3"/>
      <c r="G22" s="3"/>
      <c r="H22" s="3"/>
      <c r="I22" s="3"/>
      <c r="J22" s="3"/>
      <c r="K22" s="3"/>
      <c r="L22" s="3"/>
      <c r="M22" s="126">
        <f>B29+(B37*SIN(RADIANS(30)))-(B37/2)</f>
        <v>12.067213486736645</v>
      </c>
      <c r="N22" s="126">
        <f>IF(B26*SIN(RADIANS(90))-(B36/2)&gt;N10,B26*SIN(RADIANS(90))-(B36/2),N10)</f>
        <v>19.57847646744916</v>
      </c>
      <c r="O22" s="60"/>
    </row>
    <row r="23" spans="1:15" ht="12.75" customHeight="1">
      <c r="A23" s="74" t="s">
        <v>11</v>
      </c>
      <c r="B23" s="75">
        <v>600</v>
      </c>
      <c r="C23" s="76" t="s">
        <v>2</v>
      </c>
      <c r="D23" s="77"/>
      <c r="E23" s="7"/>
      <c r="F23" s="3"/>
      <c r="G23" s="3"/>
      <c r="H23" s="3"/>
      <c r="I23" s="3"/>
      <c r="J23" s="3"/>
      <c r="K23" s="3"/>
      <c r="L23" s="3"/>
      <c r="M23" s="126">
        <f>B29+(B37*SIN(RADIANS(60)))-(B37/2)</f>
        <v>12.077032461970381</v>
      </c>
      <c r="N23" s="126">
        <f>IF(B26*SIN(RADIANS(90))-(B36/1.2)&gt;N10,B26*SIN(RADIANS(90))-(B36/1.2),N10)</f>
        <v>19.421991822017652</v>
      </c>
      <c r="O23" s="60"/>
    </row>
    <row r="24" spans="1:15" ht="12.75" customHeight="1">
      <c r="A24" s="3"/>
      <c r="B24" s="3"/>
      <c r="C24" s="3"/>
      <c r="D24" s="3"/>
      <c r="E24" s="5"/>
      <c r="F24" s="3"/>
      <c r="G24" s="3"/>
      <c r="H24" s="3"/>
      <c r="I24" s="3"/>
      <c r="J24" s="3"/>
      <c r="K24" s="3"/>
      <c r="L24" s="3"/>
      <c r="M24" s="126">
        <f>B29+(B37*SIN(RADIANS(90)))-(B37/2)</f>
        <v>12.08062645634506</v>
      </c>
      <c r="N24" s="126">
        <f>B26*SIN(RADIANS(90))-B36</f>
        <v>19.343749499301897</v>
      </c>
      <c r="O24" s="60"/>
    </row>
    <row r="25" spans="1:15" ht="12.75" customHeight="1" thickBot="1">
      <c r="A25" s="212" t="s">
        <v>241</v>
      </c>
      <c r="B25" s="213"/>
      <c r="C25" s="213"/>
      <c r="D25" s="214"/>
      <c r="E25" s="4"/>
      <c r="F25" s="3"/>
      <c r="G25" s="3"/>
      <c r="H25" s="3"/>
      <c r="I25" s="3"/>
      <c r="J25" s="3"/>
      <c r="K25" s="3"/>
      <c r="L25" s="3"/>
      <c r="M25" s="53"/>
      <c r="N25" s="54"/>
      <c r="O25" s="60"/>
    </row>
    <row r="26" spans="1:15" ht="12.75" customHeight="1" thickTop="1">
      <c r="A26" s="78" t="s">
        <v>20</v>
      </c>
      <c r="B26" s="188">
        <f>(B14*SQRT(2))-1.4</f>
        <v>19.813203435596428</v>
      </c>
      <c r="C26" s="79" t="s">
        <v>8</v>
      </c>
      <c r="D26" s="202"/>
      <c r="E26" s="4"/>
      <c r="F26" s="3"/>
      <c r="G26" s="3"/>
      <c r="H26" s="3"/>
      <c r="I26" s="3"/>
      <c r="J26" s="3"/>
      <c r="K26" s="3"/>
      <c r="L26" s="3"/>
      <c r="M26" s="53"/>
      <c r="N26" s="54"/>
      <c r="O26" s="60"/>
    </row>
    <row r="27" spans="1:15" ht="12.75" customHeight="1">
      <c r="A27" s="78" t="s">
        <v>48</v>
      </c>
      <c r="B27" s="92">
        <f>B15*2</f>
        <v>100</v>
      </c>
      <c r="C27" s="79" t="s">
        <v>0</v>
      </c>
      <c r="D27" s="80"/>
      <c r="E27" s="7"/>
      <c r="F27" s="3"/>
      <c r="G27" s="3"/>
      <c r="H27" s="3"/>
      <c r="I27" s="3"/>
      <c r="J27" s="3"/>
      <c r="K27" s="3"/>
      <c r="L27" s="3"/>
      <c r="M27" s="53"/>
      <c r="N27" s="54"/>
      <c r="O27" s="60"/>
    </row>
    <row r="28" spans="1:15" ht="12.75" customHeight="1">
      <c r="A28" s="81" t="s">
        <v>27</v>
      </c>
      <c r="B28" s="93">
        <f>((B26-(B19*(1+(B17/B23))))/(B20+(B17*(1+(B20/B23)))))*1000</f>
        <v>3.360674336832206</v>
      </c>
      <c r="C28" s="82" t="s">
        <v>243</v>
      </c>
      <c r="D28" s="83">
        <f>(B28)/(B21)</f>
        <v>0.10502107302600644</v>
      </c>
      <c r="E28" s="5"/>
      <c r="F28" s="3"/>
      <c r="G28" s="3"/>
      <c r="H28" s="3"/>
      <c r="I28" s="3"/>
      <c r="J28" s="3"/>
      <c r="K28" s="3"/>
      <c r="L28" s="3"/>
      <c r="M28" s="61"/>
      <c r="N28" s="54"/>
      <c r="O28" s="60"/>
    </row>
    <row r="29" spans="1:12" ht="12.75" customHeight="1">
      <c r="A29" s="169" t="s">
        <v>21</v>
      </c>
      <c r="B29" s="201">
        <f>B19+(B20*(B28/1000))</f>
        <v>12.067213486736645</v>
      </c>
      <c r="C29" s="195" t="s">
        <v>6</v>
      </c>
      <c r="D29" s="193" t="str">
        <f>FIXED(B29+(B37/2),2)&amp;"V"</f>
        <v>12,08V</v>
      </c>
      <c r="E29" s="5"/>
      <c r="F29" s="3"/>
      <c r="G29" s="3"/>
      <c r="H29" s="3"/>
      <c r="I29" s="3"/>
      <c r="J29" s="3"/>
      <c r="K29" s="3"/>
      <c r="L29" s="3"/>
    </row>
    <row r="30" spans="1:12" ht="12.75" customHeight="1">
      <c r="A30" s="169" t="s">
        <v>33</v>
      </c>
      <c r="B30" s="194">
        <f>B20*(B28/1000)</f>
        <v>0.06721348673664412</v>
      </c>
      <c r="C30" s="167" t="s">
        <v>16</v>
      </c>
      <c r="D30" s="84">
        <f>B30/B22</f>
        <v>0.13442697347328825</v>
      </c>
      <c r="E30" s="7"/>
      <c r="F30" s="3"/>
      <c r="G30" s="3"/>
      <c r="H30" s="3"/>
      <c r="I30" s="3"/>
      <c r="J30" s="3"/>
      <c r="K30" s="3"/>
      <c r="L30" s="3"/>
    </row>
    <row r="31" spans="1:12" ht="12.75" customHeight="1">
      <c r="A31" s="78" t="s">
        <v>23</v>
      </c>
      <c r="B31" s="91">
        <f>B20/(B17+B20)</f>
        <v>0.05714285714285714</v>
      </c>
      <c r="C31" s="79"/>
      <c r="D31" s="85">
        <f>B20/(B17+B20)</f>
        <v>0.05714285714285714</v>
      </c>
      <c r="E31" s="7"/>
      <c r="F31" s="3"/>
      <c r="G31" s="3"/>
      <c r="H31" s="3"/>
      <c r="I31" s="3"/>
      <c r="J31" s="3"/>
      <c r="K31" s="3"/>
      <c r="L31" s="3"/>
    </row>
    <row r="32" spans="1:12" ht="12.75" customHeight="1">
      <c r="A32" s="81" t="s">
        <v>15</v>
      </c>
      <c r="B32" s="94">
        <f>(B29/B23)*1000</f>
        <v>20.11202247789441</v>
      </c>
      <c r="C32" s="82" t="s">
        <v>243</v>
      </c>
      <c r="D32" s="83"/>
      <c r="E32" s="5"/>
      <c r="F32" s="3"/>
      <c r="G32" s="3"/>
      <c r="H32" s="3"/>
      <c r="I32" s="3"/>
      <c r="J32" s="3"/>
      <c r="K32" s="3"/>
      <c r="L32" s="3"/>
    </row>
    <row r="33" spans="1:12" ht="12.75" customHeight="1">
      <c r="A33" s="169" t="s">
        <v>17</v>
      </c>
      <c r="B33" s="194">
        <f>B23*POWER(B32/1000,2)</f>
        <v>0.24269606889079795</v>
      </c>
      <c r="C33" s="167" t="s">
        <v>16</v>
      </c>
      <c r="D33" s="80"/>
      <c r="E33" s="7"/>
      <c r="F33" s="3"/>
      <c r="G33" s="3"/>
      <c r="H33" s="3"/>
      <c r="I33" s="3"/>
      <c r="J33" s="3"/>
      <c r="K33" s="3"/>
      <c r="L33" s="3"/>
    </row>
    <row r="34" spans="1:12" ht="12.75" customHeight="1">
      <c r="A34" s="81" t="s">
        <v>22</v>
      </c>
      <c r="B34" s="94">
        <f>B28+B32</f>
        <v>23.472696814726618</v>
      </c>
      <c r="C34" s="82" t="s">
        <v>243</v>
      </c>
      <c r="D34" s="86"/>
      <c r="E34" s="5"/>
      <c r="F34" s="3"/>
      <c r="G34" s="3"/>
      <c r="H34" s="3"/>
      <c r="I34" s="3"/>
      <c r="J34" s="3"/>
      <c r="K34" s="3"/>
      <c r="L34" s="3"/>
    </row>
    <row r="35" spans="1:12" ht="12.75" customHeight="1">
      <c r="A35" s="196" t="s">
        <v>18</v>
      </c>
      <c r="B35" s="197">
        <f>B17*POWER((B34/1000),2)</f>
        <v>0.18181927359950545</v>
      </c>
      <c r="C35" s="198" t="s">
        <v>16</v>
      </c>
      <c r="D35" s="87">
        <f>B35/B18</f>
        <v>0.7272770943980218</v>
      </c>
      <c r="E35" s="7"/>
      <c r="F35" s="3"/>
      <c r="G35" s="3"/>
      <c r="H35" s="3"/>
      <c r="I35" s="3"/>
      <c r="J35" s="3"/>
      <c r="K35" s="3"/>
      <c r="L35" s="3"/>
    </row>
    <row r="36" spans="1:12" ht="12.75" customHeight="1">
      <c r="A36" s="78" t="s">
        <v>24</v>
      </c>
      <c r="B36" s="91">
        <f>(B34/1000)/(2*B15*(B16/1000000))</f>
        <v>0.4694539362945323</v>
      </c>
      <c r="C36" s="79" t="s">
        <v>25</v>
      </c>
      <c r="D36" s="80"/>
      <c r="E36" s="5"/>
      <c r="F36" s="3"/>
      <c r="G36" s="3"/>
      <c r="H36" s="3"/>
      <c r="I36" s="3"/>
      <c r="J36" s="3"/>
      <c r="K36" s="3"/>
      <c r="L36" s="3"/>
    </row>
    <row r="37" spans="1:12" ht="12.75" customHeight="1">
      <c r="A37" s="169" t="s">
        <v>26</v>
      </c>
      <c r="B37" s="194">
        <f>B36*B31</f>
        <v>0.026825939216830418</v>
      </c>
      <c r="C37" s="167" t="s">
        <v>242</v>
      </c>
      <c r="D37" s="80"/>
      <c r="E37" s="5"/>
      <c r="F37" s="3"/>
      <c r="G37" s="3"/>
      <c r="H37" s="3"/>
      <c r="I37" s="3"/>
      <c r="J37" s="3"/>
      <c r="K37" s="3"/>
      <c r="L37" s="3"/>
    </row>
    <row r="38" spans="1:12" ht="12.75" customHeight="1">
      <c r="A38" s="88" t="s">
        <v>244</v>
      </c>
      <c r="B38" s="191">
        <f>(B26-B19)/(B17+B20)</f>
        <v>0.022323438387418366</v>
      </c>
      <c r="C38" s="89" t="s">
        <v>7</v>
      </c>
      <c r="D38" s="90" t="str">
        <f>IF(((B26-B19)/(B17+B20))&gt;(B21/1000),"No","Sí")</f>
        <v>Sí</v>
      </c>
      <c r="E38" s="3"/>
      <c r="F38" s="3"/>
      <c r="G38" s="3"/>
      <c r="H38" s="3"/>
      <c r="I38" s="3"/>
      <c r="J38" s="3"/>
      <c r="K38" s="3"/>
      <c r="L38" s="3"/>
    </row>
    <row r="39" spans="1:12" ht="12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</row>
    <row r="40" spans="1:12" ht="12.7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</row>
    <row r="41" spans="1:12" ht="12.7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</row>
    <row r="42" spans="1:12" ht="12.7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</row>
    <row r="43" spans="1:12" s="57" customFormat="1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 s="57" customFormat="1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2" s="57" customFormat="1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 s="57" customFormat="1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 s="57" customFormat="1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2" s="57" customFormat="1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 s="57" customFormat="1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="57" customFormat="1" ht="12.75" customHeight="1"/>
    <row r="51" s="57" customFormat="1" ht="12.75" customHeight="1"/>
    <row r="52" s="57" customFormat="1" ht="12.75" customHeight="1"/>
    <row r="53" s="57" customFormat="1" ht="12.75" customHeight="1"/>
    <row r="54" s="57" customFormat="1" ht="12.75" customHeight="1"/>
    <row r="55" s="57" customFormat="1" ht="12.75" customHeight="1"/>
    <row r="56" s="57" customFormat="1" ht="12.75" customHeight="1"/>
    <row r="57" s="57" customFormat="1" ht="12.75" customHeight="1"/>
    <row r="58" s="57" customFormat="1" ht="12.75" customHeight="1"/>
    <row r="59" s="57" customFormat="1" ht="12.75" customHeight="1"/>
    <row r="60" s="57" customFormat="1" ht="12.75" customHeight="1"/>
    <row r="61" s="57" customFormat="1" ht="12.75" customHeight="1"/>
    <row r="62" s="57" customFormat="1" ht="12.75" customHeight="1"/>
    <row r="63" s="57" customFormat="1" ht="12.75" customHeight="1"/>
    <row r="64" s="57" customFormat="1" ht="12.75" customHeight="1"/>
    <row r="65" s="57" customFormat="1" ht="12.75" customHeight="1"/>
    <row r="66" s="57" customFormat="1" ht="12.75" customHeight="1"/>
  </sheetData>
  <sheetProtection/>
  <mergeCells count="2">
    <mergeCell ref="A25:D25"/>
    <mergeCell ref="A13:D13"/>
  </mergeCells>
  <printOptions/>
  <pageMargins left="0.1968503937007874" right="0.1968503937007874" top="0.7874015748031497" bottom="0.1968503937007874" header="0" footer="0"/>
  <pageSetup orientation="landscape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5">
    <tabColor indexed="21"/>
  </sheetPr>
  <dimension ref="A1:N54"/>
  <sheetViews>
    <sheetView showGridLines="0" workbookViewId="0" topLeftCell="B1">
      <selection activeCell="B29" sqref="B29"/>
    </sheetView>
  </sheetViews>
  <sheetFormatPr defaultColWidth="11.421875" defaultRowHeight="12.75"/>
  <cols>
    <col min="1" max="1" width="29.421875" style="131" customWidth="1"/>
    <col min="2" max="2" width="8.00390625" style="131" customWidth="1"/>
    <col min="3" max="3" width="5.421875" style="131" customWidth="1"/>
    <col min="4" max="4" width="8.57421875" style="131" customWidth="1"/>
    <col min="5" max="5" width="3.28125" style="131" customWidth="1"/>
    <col min="6" max="6" width="16.00390625" style="131" customWidth="1"/>
    <col min="7" max="7" width="14.57421875" style="131" customWidth="1"/>
    <col min="8" max="8" width="18.57421875" style="131" customWidth="1"/>
    <col min="9" max="9" width="3.8515625" style="131" customWidth="1"/>
    <col min="10" max="10" width="16.00390625" style="131" customWidth="1"/>
    <col min="11" max="11" width="13.140625" style="131" customWidth="1"/>
    <col min="12" max="12" width="18.140625" style="131" customWidth="1"/>
    <col min="13" max="13" width="11.421875" style="131" customWidth="1"/>
    <col min="14" max="14" width="12.28125" style="131" bestFit="1" customWidth="1"/>
    <col min="15" max="16384" width="11.421875" style="131" customWidth="1"/>
  </cols>
  <sheetData>
    <row r="1" spans="1:14" ht="12.75">
      <c r="A1" s="127" t="s">
        <v>3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9"/>
      <c r="N1" s="130"/>
    </row>
    <row r="2" spans="1:14" ht="12.75">
      <c r="A2" s="132">
        <f ca="1">NOW()</f>
        <v>41311.720849537036</v>
      </c>
      <c r="B2" s="128"/>
      <c r="C2" s="128"/>
      <c r="D2" s="128"/>
      <c r="E2" s="128"/>
      <c r="F2" s="128"/>
      <c r="G2" s="128"/>
      <c r="H2" s="128"/>
      <c r="I2" s="128"/>
      <c r="M2" s="129"/>
      <c r="N2" s="130"/>
    </row>
    <row r="3" spans="1:14" ht="12.75">
      <c r="A3" s="128"/>
      <c r="B3" s="128"/>
      <c r="C3" s="128"/>
      <c r="D3" s="128"/>
      <c r="E3" s="128"/>
      <c r="F3" s="128"/>
      <c r="G3" s="128"/>
      <c r="H3" s="128"/>
      <c r="I3" s="128"/>
      <c r="M3" s="11"/>
      <c r="N3" s="130"/>
    </row>
    <row r="4" spans="1:14" ht="12.75">
      <c r="A4" s="56"/>
      <c r="B4" s="133"/>
      <c r="C4" s="128"/>
      <c r="D4" s="128"/>
      <c r="E4" s="128"/>
      <c r="F4" s="128"/>
      <c r="G4" s="128"/>
      <c r="H4" s="128"/>
      <c r="I4" s="128"/>
      <c r="M4" s="14"/>
      <c r="N4" s="130"/>
    </row>
    <row r="5" spans="1:14" ht="12.75">
      <c r="A5" s="56"/>
      <c r="B5" s="134"/>
      <c r="C5" s="128"/>
      <c r="D5" s="128"/>
      <c r="E5" s="128"/>
      <c r="F5" s="128"/>
      <c r="G5" s="128"/>
      <c r="H5" s="128"/>
      <c r="I5" s="128"/>
      <c r="M5" s="129"/>
      <c r="N5" s="130"/>
    </row>
    <row r="6" spans="1:14" ht="12.75">
      <c r="A6" s="16" t="s">
        <v>4</v>
      </c>
      <c r="B6" s="134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9"/>
      <c r="N6" s="130"/>
    </row>
    <row r="7" spans="1:14" ht="12.75">
      <c r="A7" s="16" t="s">
        <v>35</v>
      </c>
      <c r="B7" s="134"/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9"/>
      <c r="N7" s="130"/>
    </row>
    <row r="8" spans="1:14" ht="12.75">
      <c r="A8" s="125"/>
      <c r="B8" s="128"/>
      <c r="C8" s="128"/>
      <c r="D8" s="128"/>
      <c r="E8" s="128"/>
      <c r="F8" s="128"/>
      <c r="G8" s="128"/>
      <c r="H8" s="128"/>
      <c r="I8" s="128"/>
      <c r="J8" s="128"/>
      <c r="K8" s="128"/>
      <c r="L8" s="128"/>
      <c r="M8" s="129"/>
      <c r="N8" s="130"/>
    </row>
    <row r="9" spans="1:14" ht="12.75">
      <c r="A9" s="128"/>
      <c r="B9" s="128"/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129"/>
      <c r="N9" s="130"/>
    </row>
    <row r="10" spans="1:14" ht="12.75">
      <c r="A10" s="128"/>
      <c r="B10" s="128"/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9"/>
      <c r="N10" s="130"/>
    </row>
    <row r="11" spans="1:14" ht="12.75">
      <c r="A11" s="128"/>
      <c r="B11" s="128"/>
      <c r="C11" s="128"/>
      <c r="D11" s="128"/>
      <c r="E11" s="135"/>
      <c r="F11" s="128"/>
      <c r="G11" s="128"/>
      <c r="H11" s="128"/>
      <c r="I11" s="128"/>
      <c r="J11" s="128"/>
      <c r="K11" s="128"/>
      <c r="L11" s="128"/>
      <c r="M11" s="129"/>
      <c r="N11" s="130"/>
    </row>
    <row r="12" spans="1:14" ht="12.75">
      <c r="A12" s="128"/>
      <c r="B12" s="128"/>
      <c r="C12" s="128"/>
      <c r="D12" s="128"/>
      <c r="E12" s="135"/>
      <c r="F12" s="128"/>
      <c r="G12" s="128"/>
      <c r="H12" s="128"/>
      <c r="I12" s="128"/>
      <c r="J12" s="128"/>
      <c r="K12" s="128"/>
      <c r="L12" s="128"/>
      <c r="M12" s="129"/>
      <c r="N12" s="130"/>
    </row>
    <row r="13" spans="1:14" ht="12.75" customHeight="1">
      <c r="A13" s="218" t="s">
        <v>262</v>
      </c>
      <c r="B13" s="219"/>
      <c r="C13" s="219"/>
      <c r="D13" s="219"/>
      <c r="E13" s="136"/>
      <c r="F13" s="10" t="s">
        <v>112</v>
      </c>
      <c r="G13" s="10" t="s">
        <v>209</v>
      </c>
      <c r="H13" s="10" t="s">
        <v>211</v>
      </c>
      <c r="I13" s="128"/>
      <c r="J13" s="178"/>
      <c r="K13" s="178"/>
      <c r="L13" s="178"/>
      <c r="M13" s="129"/>
      <c r="N13" s="130"/>
    </row>
    <row r="14" spans="1:14" ht="12.75">
      <c r="A14" s="137" t="s">
        <v>36</v>
      </c>
      <c r="B14" s="102">
        <v>12</v>
      </c>
      <c r="C14" s="65" t="s">
        <v>6</v>
      </c>
      <c r="D14" s="65"/>
      <c r="E14" s="135"/>
      <c r="F14" s="13" t="str">
        <f>IF(B20&lt;=B16,"SI","No")</f>
        <v>No</v>
      </c>
      <c r="G14" s="13" t="str">
        <f>IF(B34/1000&lt;=B21*0.9,"SI","Excesiva")</f>
        <v>SI</v>
      </c>
      <c r="H14" s="13" t="str">
        <f>IF(B42&lt;=B17*0.99,"Sí","No")</f>
        <v>Sí</v>
      </c>
      <c r="I14" s="128"/>
      <c r="J14" s="138"/>
      <c r="K14" s="138"/>
      <c r="L14" s="138"/>
      <c r="M14" s="129"/>
      <c r="N14" s="130"/>
    </row>
    <row r="15" spans="1:14" ht="12.75">
      <c r="A15" s="139" t="s">
        <v>37</v>
      </c>
      <c r="B15" s="199">
        <v>0.016</v>
      </c>
      <c r="C15" s="185" t="s">
        <v>7</v>
      </c>
      <c r="D15" s="139" t="str">
        <f>FIXED(B15*1000,0)&amp;" mA"</f>
        <v>16 mA</v>
      </c>
      <c r="E15" s="135"/>
      <c r="F15" s="140"/>
      <c r="G15" s="140"/>
      <c r="H15" s="140"/>
      <c r="I15" s="128"/>
      <c r="J15" s="140"/>
      <c r="K15" s="140"/>
      <c r="L15" s="140"/>
      <c r="M15" s="129"/>
      <c r="N15" s="130"/>
    </row>
    <row r="16" spans="1:14" ht="12.75">
      <c r="A16" s="141" t="s">
        <v>13</v>
      </c>
      <c r="B16" s="145">
        <v>20</v>
      </c>
      <c r="C16" s="65" t="s">
        <v>2</v>
      </c>
      <c r="D16" s="65"/>
      <c r="E16" s="136"/>
      <c r="F16" s="128"/>
      <c r="G16" s="128"/>
      <c r="H16" s="128"/>
      <c r="I16" s="128"/>
      <c r="J16" s="140"/>
      <c r="K16" s="140"/>
      <c r="L16" s="140"/>
      <c r="M16" s="129"/>
      <c r="N16" s="130"/>
    </row>
    <row r="17" spans="1:14" ht="12.75">
      <c r="A17" s="141" t="s">
        <v>14</v>
      </c>
      <c r="B17" s="142">
        <v>0.032</v>
      </c>
      <c r="C17" s="65" t="s">
        <v>7</v>
      </c>
      <c r="D17" s="137" t="str">
        <f>FIXED(B17*1000,0)&amp;" mA"</f>
        <v>32 mA</v>
      </c>
      <c r="E17" s="136"/>
      <c r="I17" s="128"/>
      <c r="J17" s="140"/>
      <c r="K17" s="140"/>
      <c r="L17" s="140"/>
      <c r="M17" s="129"/>
      <c r="N17" s="130"/>
    </row>
    <row r="18" spans="1:14" ht="12.75">
      <c r="A18" s="137" t="s">
        <v>251</v>
      </c>
      <c r="B18" s="142">
        <v>0.25</v>
      </c>
      <c r="C18" s="65" t="s">
        <v>16</v>
      </c>
      <c r="D18" s="65"/>
      <c r="E18" s="135"/>
      <c r="I18" s="128"/>
      <c r="J18" s="140"/>
      <c r="K18" s="140"/>
      <c r="L18" s="140"/>
      <c r="M18" s="129"/>
      <c r="N18" s="130"/>
    </row>
    <row r="19" spans="1:14" ht="12.75">
      <c r="A19" s="182" t="s">
        <v>260</v>
      </c>
      <c r="B19" s="183">
        <v>0.005</v>
      </c>
      <c r="C19" s="184" t="s">
        <v>7</v>
      </c>
      <c r="D19" s="163">
        <f>B19/B17</f>
        <v>0.15625</v>
      </c>
      <c r="E19" s="136"/>
      <c r="F19" s="128"/>
      <c r="G19" s="128"/>
      <c r="H19" s="128"/>
      <c r="I19" s="128"/>
      <c r="J19" s="140"/>
      <c r="K19" s="140"/>
      <c r="L19" s="140"/>
      <c r="M19" s="129"/>
      <c r="N19" s="130"/>
    </row>
    <row r="20" spans="1:14" ht="12.75">
      <c r="A20" s="179" t="s">
        <v>10</v>
      </c>
      <c r="B20" s="180">
        <v>150</v>
      </c>
      <c r="C20" s="181" t="s">
        <v>2</v>
      </c>
      <c r="D20" s="69"/>
      <c r="E20" s="135"/>
      <c r="F20" s="140"/>
      <c r="G20" s="140"/>
      <c r="H20" s="140"/>
      <c r="I20" s="128"/>
      <c r="J20" s="140"/>
      <c r="K20" s="140"/>
      <c r="L20" s="140"/>
      <c r="M20" s="129"/>
      <c r="N20" s="130"/>
    </row>
    <row r="21" spans="1:14" ht="12.75">
      <c r="A21" s="137" t="s">
        <v>210</v>
      </c>
      <c r="B21" s="91">
        <v>0.25</v>
      </c>
      <c r="C21" s="65" t="s">
        <v>16</v>
      </c>
      <c r="D21" s="65"/>
      <c r="E21" s="135"/>
      <c r="F21" s="140"/>
      <c r="G21" s="140"/>
      <c r="H21" s="140"/>
      <c r="I21" s="128"/>
      <c r="J21" s="140"/>
      <c r="K21" s="140"/>
      <c r="L21" s="140"/>
      <c r="M21" s="129"/>
      <c r="N21" s="130"/>
    </row>
    <row r="22" spans="1:14" ht="12.75" customHeight="1">
      <c r="A22" s="137" t="s">
        <v>85</v>
      </c>
      <c r="B22" s="142">
        <v>0.05</v>
      </c>
      <c r="C22" s="65" t="s">
        <v>6</v>
      </c>
      <c r="D22" s="65"/>
      <c r="E22" s="135"/>
      <c r="F22" s="140"/>
      <c r="G22" s="140"/>
      <c r="H22" s="140"/>
      <c r="I22" s="128"/>
      <c r="J22" s="140"/>
      <c r="K22" s="140"/>
      <c r="L22" s="140"/>
      <c r="M22" s="129"/>
      <c r="N22" s="130"/>
    </row>
    <row r="23" spans="1:14" ht="12" customHeight="1">
      <c r="A23" s="137" t="s">
        <v>42</v>
      </c>
      <c r="B23" s="144">
        <v>0.7</v>
      </c>
      <c r="C23" s="65" t="s">
        <v>6</v>
      </c>
      <c r="D23" s="65"/>
      <c r="E23" s="136"/>
      <c r="F23" s="140"/>
      <c r="G23" s="140"/>
      <c r="H23" s="140"/>
      <c r="I23" s="128"/>
      <c r="J23" s="140"/>
      <c r="K23" s="140"/>
      <c r="L23" s="140"/>
      <c r="M23" s="129"/>
      <c r="N23" s="130"/>
    </row>
    <row r="24" spans="1:14" ht="12" customHeight="1">
      <c r="A24" s="137" t="s">
        <v>45</v>
      </c>
      <c r="B24" s="144">
        <v>0.1</v>
      </c>
      <c r="C24" s="137" t="s">
        <v>52</v>
      </c>
      <c r="D24" s="143">
        <f>B24</f>
        <v>0.1</v>
      </c>
      <c r="E24" s="136"/>
      <c r="F24" s="140"/>
      <c r="G24" s="140"/>
      <c r="H24" s="140"/>
      <c r="I24" s="128"/>
      <c r="J24" s="140"/>
      <c r="K24" s="140"/>
      <c r="L24" s="140"/>
      <c r="M24" s="129"/>
      <c r="N24" s="130"/>
    </row>
    <row r="25" spans="1:14" ht="12" customHeight="1">
      <c r="A25" s="137" t="s">
        <v>5</v>
      </c>
      <c r="B25" s="145">
        <v>50</v>
      </c>
      <c r="C25" s="65" t="s">
        <v>0</v>
      </c>
      <c r="D25" s="146"/>
      <c r="E25" s="136"/>
      <c r="F25" s="140"/>
      <c r="G25" s="140"/>
      <c r="H25" s="140"/>
      <c r="I25" s="128"/>
      <c r="J25" s="140"/>
      <c r="K25" s="140"/>
      <c r="L25" s="140"/>
      <c r="M25" s="129"/>
      <c r="N25" s="130"/>
    </row>
    <row r="26" spans="1:14" ht="7.5" customHeight="1">
      <c r="A26" s="128"/>
      <c r="B26" s="128"/>
      <c r="C26" s="128"/>
      <c r="D26" s="128"/>
      <c r="E26" s="135"/>
      <c r="F26" s="140"/>
      <c r="G26" s="140"/>
      <c r="H26" s="140"/>
      <c r="I26" s="128"/>
      <c r="J26" s="140"/>
      <c r="K26" s="140"/>
      <c r="L26" s="140"/>
      <c r="M26" s="129"/>
      <c r="N26" s="130"/>
    </row>
    <row r="27" spans="1:14" ht="13.5" thickBot="1">
      <c r="A27" s="212" t="s">
        <v>241</v>
      </c>
      <c r="B27" s="213"/>
      <c r="C27" s="213"/>
      <c r="D27" s="214"/>
      <c r="E27" s="136"/>
      <c r="F27" s="140"/>
      <c r="G27" s="140"/>
      <c r="H27" s="140"/>
      <c r="I27" s="128"/>
      <c r="J27" s="140"/>
      <c r="K27" s="140"/>
      <c r="L27" s="140"/>
      <c r="M27" s="147"/>
      <c r="N27" s="148"/>
    </row>
    <row r="28" spans="1:14" ht="13.5" thickTop="1">
      <c r="A28" s="78" t="s">
        <v>39</v>
      </c>
      <c r="B28" s="164">
        <f>B16/(B16+B20)</f>
        <v>0.11764705882352941</v>
      </c>
      <c r="C28" s="79"/>
      <c r="D28" s="84">
        <f>B28</f>
        <v>0.11764705882352941</v>
      </c>
      <c r="E28" s="136"/>
      <c r="F28" s="140"/>
      <c r="G28" s="140"/>
      <c r="H28" s="140"/>
      <c r="I28" s="128"/>
      <c r="J28" s="140"/>
      <c r="K28" s="140"/>
      <c r="L28" s="140"/>
      <c r="M28" s="147"/>
      <c r="N28" s="148"/>
    </row>
    <row r="29" spans="1:14" ht="12.75">
      <c r="A29" s="169" t="s">
        <v>50</v>
      </c>
      <c r="B29" s="200">
        <f>B14+(B16*B19)</f>
        <v>12.1</v>
      </c>
      <c r="C29" s="195" t="s">
        <v>6</v>
      </c>
      <c r="D29" s="192" t="str">
        <f>FIXED((B14+(B16*B19))+(B22/2),2)&amp;"V"</f>
        <v>12,13V</v>
      </c>
      <c r="E29" s="136"/>
      <c r="F29" s="140"/>
      <c r="G29" s="140"/>
      <c r="H29" s="140"/>
      <c r="I29" s="128"/>
      <c r="J29" s="140"/>
      <c r="K29" s="140"/>
      <c r="L29" s="140"/>
      <c r="M29" s="147"/>
      <c r="N29" s="148"/>
    </row>
    <row r="30" spans="1:14" ht="12.75">
      <c r="A30" s="78" t="s">
        <v>33</v>
      </c>
      <c r="B30" s="149">
        <f>B29*B19</f>
        <v>0.0605</v>
      </c>
      <c r="C30" s="79" t="s">
        <v>16</v>
      </c>
      <c r="D30" s="84">
        <f>B30/B18</f>
        <v>0.242</v>
      </c>
      <c r="E30" s="136"/>
      <c r="F30" s="140"/>
      <c r="G30" s="140"/>
      <c r="H30" s="140"/>
      <c r="I30" s="128"/>
      <c r="J30" s="140"/>
      <c r="K30" s="140"/>
      <c r="L30" s="140"/>
      <c r="M30" s="147"/>
      <c r="N30" s="148"/>
    </row>
    <row r="31" spans="1:14" ht="12.75">
      <c r="A31" s="81" t="s">
        <v>46</v>
      </c>
      <c r="B31" s="165">
        <f>B29/B15</f>
        <v>756.25</v>
      </c>
      <c r="C31" s="82" t="s">
        <v>2</v>
      </c>
      <c r="D31" s="150"/>
      <c r="E31" s="136"/>
      <c r="F31" s="140"/>
      <c r="G31" s="140"/>
      <c r="H31" s="140"/>
      <c r="I31" s="128"/>
      <c r="J31" s="140"/>
      <c r="K31" s="140"/>
      <c r="L31" s="140"/>
      <c r="M31" s="147"/>
      <c r="N31" s="148"/>
    </row>
    <row r="32" spans="1:14" ht="12.75">
      <c r="A32" s="169" t="s">
        <v>49</v>
      </c>
      <c r="B32" s="166">
        <f>B31*POWER(B15,2)*1000</f>
        <v>193.6</v>
      </c>
      <c r="C32" s="167" t="s">
        <v>259</v>
      </c>
      <c r="D32" s="151"/>
      <c r="E32" s="136"/>
      <c r="F32" s="140"/>
      <c r="G32" s="140"/>
      <c r="H32" s="140"/>
      <c r="I32" s="128"/>
      <c r="J32" s="140"/>
      <c r="K32" s="140"/>
      <c r="L32" s="140"/>
      <c r="M32" s="147"/>
      <c r="N32" s="148"/>
    </row>
    <row r="33" spans="1:13" ht="12.75">
      <c r="A33" s="81" t="s">
        <v>44</v>
      </c>
      <c r="B33" s="152">
        <f>B15+B19</f>
        <v>0.021</v>
      </c>
      <c r="C33" s="82" t="s">
        <v>7</v>
      </c>
      <c r="D33" s="153"/>
      <c r="E33" s="135"/>
      <c r="F33" s="140"/>
      <c r="G33" s="140"/>
      <c r="H33" s="140"/>
      <c r="I33" s="128"/>
      <c r="J33" s="140"/>
      <c r="K33" s="140"/>
      <c r="L33" s="140"/>
      <c r="M33" s="128"/>
    </row>
    <row r="34" spans="1:13" ht="12.75">
      <c r="A34" s="169" t="s">
        <v>40</v>
      </c>
      <c r="B34" s="168">
        <f>B20*POWER(B33,2)*1000</f>
        <v>66.15</v>
      </c>
      <c r="C34" s="167" t="s">
        <v>259</v>
      </c>
      <c r="D34" s="84">
        <f>B34/B21/1000</f>
        <v>0.2646</v>
      </c>
      <c r="E34" s="136"/>
      <c r="F34" s="140"/>
      <c r="G34" s="140"/>
      <c r="H34" s="140"/>
      <c r="I34" s="128"/>
      <c r="J34" s="140"/>
      <c r="K34" s="140"/>
      <c r="L34" s="140"/>
      <c r="M34" s="128"/>
    </row>
    <row r="35" spans="1:13" ht="12.75">
      <c r="A35" s="78" t="s">
        <v>51</v>
      </c>
      <c r="B35" s="144">
        <f>B20*B33</f>
        <v>3.1500000000000004</v>
      </c>
      <c r="C35" s="79" t="s">
        <v>6</v>
      </c>
      <c r="D35" s="84"/>
      <c r="E35" s="136"/>
      <c r="F35" s="140"/>
      <c r="G35" s="140"/>
      <c r="H35" s="140"/>
      <c r="I35" s="128"/>
      <c r="J35" s="140"/>
      <c r="K35" s="140"/>
      <c r="L35" s="140"/>
      <c r="M35" s="128"/>
    </row>
    <row r="36" spans="1:13" ht="12.75">
      <c r="A36" s="81" t="s">
        <v>43</v>
      </c>
      <c r="B36" s="152">
        <f>B22/B28</f>
        <v>0.42500000000000004</v>
      </c>
      <c r="C36" s="82" t="s">
        <v>6</v>
      </c>
      <c r="D36" s="83"/>
      <c r="E36" s="136"/>
      <c r="F36" s="140"/>
      <c r="G36" s="140"/>
      <c r="H36" s="140"/>
      <c r="I36" s="128"/>
      <c r="J36" s="140"/>
      <c r="K36" s="140"/>
      <c r="L36" s="140"/>
      <c r="M36" s="128"/>
    </row>
    <row r="37" spans="1:13" ht="12.75">
      <c r="A37" s="78" t="s">
        <v>41</v>
      </c>
      <c r="B37" s="144">
        <f>B29+B35+B36</f>
        <v>15.675</v>
      </c>
      <c r="C37" s="79" t="s">
        <v>8</v>
      </c>
      <c r="D37" s="85"/>
      <c r="E37" s="136"/>
      <c r="F37" s="140"/>
      <c r="G37" s="140"/>
      <c r="H37" s="140"/>
      <c r="I37" s="128"/>
      <c r="J37" s="140"/>
      <c r="K37" s="140"/>
      <c r="L37" s="140"/>
      <c r="M37" s="128"/>
    </row>
    <row r="38" spans="1:13" ht="12.75">
      <c r="A38" s="170" t="s">
        <v>12</v>
      </c>
      <c r="B38" s="171">
        <f>(B33/(B41*B36))*1000000</f>
        <v>494.1176470588235</v>
      </c>
      <c r="C38" s="172" t="s">
        <v>86</v>
      </c>
      <c r="D38" s="160"/>
      <c r="E38" s="136"/>
      <c r="F38" s="140"/>
      <c r="G38" s="140"/>
      <c r="H38" s="140"/>
      <c r="I38" s="128"/>
      <c r="J38" s="140"/>
      <c r="K38" s="140"/>
      <c r="L38" s="140"/>
      <c r="M38" s="128"/>
    </row>
    <row r="39" spans="1:13" ht="12.75">
      <c r="A39" s="173" t="s">
        <v>47</v>
      </c>
      <c r="B39" s="174">
        <f>(B37+(2*B23))/SQRT(2)</f>
        <v>12.073848288760297</v>
      </c>
      <c r="C39" s="175" t="s">
        <v>9</v>
      </c>
      <c r="D39" s="176" t="str">
        <f>FIXED((((B37+(2*B23))/SQRT(2))*(1+B24)),1)&amp;" Vef"</f>
        <v>13,3 Vef</v>
      </c>
      <c r="E39" s="135"/>
      <c r="F39" s="140"/>
      <c r="G39" s="140"/>
      <c r="H39" s="140"/>
      <c r="I39" s="128"/>
      <c r="J39" s="140"/>
      <c r="K39" s="140"/>
      <c r="L39" s="140"/>
      <c r="M39" s="128"/>
    </row>
    <row r="40" spans="1:13" ht="12.75">
      <c r="A40" s="154" t="s">
        <v>54</v>
      </c>
      <c r="B40" s="156">
        <f>B39*SQRT(2)*B33*0.9</f>
        <v>0.32271750000000005</v>
      </c>
      <c r="C40" s="155" t="s">
        <v>53</v>
      </c>
      <c r="D40" s="161"/>
      <c r="E40" s="135"/>
      <c r="F40" s="140"/>
      <c r="G40" s="140"/>
      <c r="H40" s="140"/>
      <c r="I40" s="128"/>
      <c r="J40" s="140"/>
      <c r="K40" s="140"/>
      <c r="L40" s="140"/>
      <c r="M40" s="128"/>
    </row>
    <row r="41" spans="1:13" ht="12.75">
      <c r="A41" s="78" t="s">
        <v>48</v>
      </c>
      <c r="B41" s="92">
        <f>2*B25</f>
        <v>100</v>
      </c>
      <c r="C41" s="79" t="s">
        <v>0</v>
      </c>
      <c r="D41" s="84"/>
      <c r="E41" s="135"/>
      <c r="F41" s="140"/>
      <c r="G41" s="140"/>
      <c r="H41" s="140"/>
      <c r="I41" s="128"/>
      <c r="J41" s="140"/>
      <c r="K41" s="140"/>
      <c r="L41" s="140"/>
      <c r="M41" s="128"/>
    </row>
    <row r="42" spans="1:13" ht="12.75">
      <c r="A42" s="157" t="s">
        <v>113</v>
      </c>
      <c r="B42" s="177">
        <f>(((B39*SQRT(2))-(2*B23))-B14)/(B16+B20)</f>
        <v>0.021617647058823523</v>
      </c>
      <c r="C42" s="158" t="s">
        <v>7</v>
      </c>
      <c r="D42" s="162">
        <f>B42/B17</f>
        <v>0.6755514705882351</v>
      </c>
      <c r="E42" s="136"/>
      <c r="F42" s="128"/>
      <c r="G42" s="128"/>
      <c r="H42" s="128"/>
      <c r="I42" s="128"/>
      <c r="J42" s="128"/>
      <c r="K42" s="128"/>
      <c r="L42" s="128"/>
      <c r="M42" s="128"/>
    </row>
    <row r="43" spans="1:13" ht="12.75">
      <c r="A43" s="128"/>
      <c r="B43" s="128"/>
      <c r="C43" s="128"/>
      <c r="D43" s="128"/>
      <c r="E43" s="128"/>
      <c r="F43" s="128"/>
      <c r="G43" s="128"/>
      <c r="H43" s="128"/>
      <c r="I43" s="128"/>
      <c r="J43" s="128"/>
      <c r="K43" s="128"/>
      <c r="L43" s="128"/>
      <c r="M43" s="128"/>
    </row>
    <row r="44" spans="1:12" ht="12.75">
      <c r="A44" s="159"/>
      <c r="B44" s="159"/>
      <c r="C44" s="159"/>
      <c r="D44" s="159"/>
      <c r="E44" s="159"/>
      <c r="F44" s="159"/>
      <c r="G44" s="159"/>
      <c r="H44" s="159"/>
      <c r="I44" s="159"/>
      <c r="J44" s="159"/>
      <c r="K44" s="159"/>
      <c r="L44" s="159"/>
    </row>
    <row r="45" spans="1:12" ht="12.75">
      <c r="A45" s="159"/>
      <c r="B45" s="159"/>
      <c r="C45" s="159"/>
      <c r="D45" s="159"/>
      <c r="E45" s="159"/>
      <c r="F45" s="159"/>
      <c r="G45" s="159"/>
      <c r="H45" s="159"/>
      <c r="I45" s="159"/>
      <c r="J45" s="159"/>
      <c r="K45" s="159"/>
      <c r="L45" s="159"/>
    </row>
    <row r="46" spans="1:12" ht="12.75">
      <c r="A46" s="159"/>
      <c r="B46" s="159"/>
      <c r="C46" s="159"/>
      <c r="D46" s="159"/>
      <c r="E46" s="159"/>
      <c r="F46" s="159"/>
      <c r="G46" s="159"/>
      <c r="H46" s="159"/>
      <c r="I46" s="159"/>
      <c r="J46" s="159"/>
      <c r="K46" s="159"/>
      <c r="L46" s="159"/>
    </row>
    <row r="47" spans="1:12" ht="12.75">
      <c r="A47" s="159"/>
      <c r="B47" s="159"/>
      <c r="C47" s="159"/>
      <c r="D47" s="159"/>
      <c r="E47" s="159"/>
      <c r="F47" s="159"/>
      <c r="G47" s="159"/>
      <c r="H47" s="159"/>
      <c r="I47" s="159"/>
      <c r="J47" s="159"/>
      <c r="K47" s="159"/>
      <c r="L47" s="159"/>
    </row>
    <row r="48" spans="1:12" ht="12.75">
      <c r="A48" s="159"/>
      <c r="B48" s="159"/>
      <c r="C48" s="159"/>
      <c r="D48" s="159"/>
      <c r="E48" s="159"/>
      <c r="F48" s="159"/>
      <c r="G48" s="159"/>
      <c r="H48" s="159"/>
      <c r="I48" s="159"/>
      <c r="J48" s="159"/>
      <c r="K48" s="159"/>
      <c r="L48" s="159"/>
    </row>
    <row r="49" spans="1:12" ht="12.75">
      <c r="A49" s="159"/>
      <c r="B49" s="159"/>
      <c r="C49" s="159"/>
      <c r="D49" s="159"/>
      <c r="E49" s="159"/>
      <c r="F49" s="159"/>
      <c r="G49" s="159"/>
      <c r="H49" s="159"/>
      <c r="I49" s="159"/>
      <c r="J49" s="159"/>
      <c r="K49" s="159"/>
      <c r="L49" s="159"/>
    </row>
    <row r="50" spans="1:12" ht="12.75">
      <c r="A50" s="159"/>
      <c r="B50" s="159"/>
      <c r="C50" s="159"/>
      <c r="D50" s="159"/>
      <c r="E50" s="159"/>
      <c r="F50" s="159"/>
      <c r="G50" s="159"/>
      <c r="H50" s="159"/>
      <c r="I50" s="159"/>
      <c r="J50" s="159"/>
      <c r="K50" s="159"/>
      <c r="L50" s="159"/>
    </row>
    <row r="51" spans="1:12" ht="12.75">
      <c r="A51" s="159"/>
      <c r="B51" s="159"/>
      <c r="C51" s="159"/>
      <c r="D51" s="159"/>
      <c r="E51" s="159"/>
      <c r="F51" s="159"/>
      <c r="G51" s="159"/>
      <c r="H51" s="159"/>
      <c r="I51" s="159"/>
      <c r="J51" s="159"/>
      <c r="K51" s="159"/>
      <c r="L51" s="159"/>
    </row>
    <row r="52" spans="1:12" ht="12.75">
      <c r="A52" s="159"/>
      <c r="B52" s="159"/>
      <c r="C52" s="159"/>
      <c r="D52" s="159"/>
      <c r="E52" s="159"/>
      <c r="F52" s="159"/>
      <c r="G52" s="159"/>
      <c r="H52" s="159"/>
      <c r="I52" s="159"/>
      <c r="J52" s="159"/>
      <c r="K52" s="159"/>
      <c r="L52" s="159"/>
    </row>
    <row r="53" spans="1:12" ht="12.75">
      <c r="A53" s="159"/>
      <c r="B53" s="159"/>
      <c r="C53" s="159"/>
      <c r="D53" s="159"/>
      <c r="E53" s="159"/>
      <c r="F53" s="159"/>
      <c r="G53" s="159"/>
      <c r="H53" s="159"/>
      <c r="I53" s="159"/>
      <c r="J53" s="159"/>
      <c r="K53" s="159"/>
      <c r="L53" s="159"/>
    </row>
    <row r="54" spans="1:12" ht="12.75">
      <c r="A54" s="159"/>
      <c r="B54" s="159"/>
      <c r="C54" s="159"/>
      <c r="D54" s="159"/>
      <c r="E54" s="159"/>
      <c r="F54" s="159"/>
      <c r="G54" s="159"/>
      <c r="H54" s="159"/>
      <c r="I54" s="159"/>
      <c r="J54" s="159"/>
      <c r="K54" s="159"/>
      <c r="L54" s="159"/>
    </row>
  </sheetData>
  <sheetProtection/>
  <mergeCells count="2">
    <mergeCell ref="A27:D27"/>
    <mergeCell ref="A13:D13"/>
  </mergeCells>
  <printOptions/>
  <pageMargins left="0.1968503937007874" right="0.1968503937007874" top="0.7874015748031497" bottom="0.1968503937007874" header="0" footer="0"/>
  <pageSetup horizontalDpi="600" verticalDpi="600" orientation="landscape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S79"/>
  <sheetViews>
    <sheetView zoomScalePageLayoutView="0" workbookViewId="0" topLeftCell="A1">
      <selection activeCell="E18" sqref="E18"/>
    </sheetView>
  </sheetViews>
  <sheetFormatPr defaultColWidth="11.421875" defaultRowHeight="12.75"/>
  <cols>
    <col min="1" max="1" width="1.7109375" style="19" customWidth="1"/>
    <col min="2" max="2" width="14.140625" style="19" customWidth="1"/>
    <col min="3" max="3" width="13.140625" style="19" customWidth="1"/>
    <col min="4" max="4" width="3.28125" style="19" customWidth="1"/>
    <col min="5" max="5" width="13.28125" style="19" customWidth="1"/>
    <col min="6" max="7" width="11.421875" style="19" customWidth="1"/>
    <col min="8" max="8" width="1.7109375" style="19" customWidth="1"/>
    <col min="9" max="9" width="2.28125" style="19" customWidth="1"/>
    <col min="10" max="10" width="14.421875" style="19" customWidth="1"/>
    <col min="11" max="11" width="13.8515625" style="19" customWidth="1"/>
    <col min="12" max="12" width="13.7109375" style="19" customWidth="1"/>
    <col min="13" max="13" width="14.57421875" style="19" customWidth="1"/>
    <col min="14" max="16384" width="11.421875" style="19" customWidth="1"/>
  </cols>
  <sheetData>
    <row r="1" spans="1:19" ht="10.5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</row>
    <row r="2" spans="1:19" ht="10.5">
      <c r="A2" s="18"/>
      <c r="B2" s="227" t="s">
        <v>118</v>
      </c>
      <c r="C2" s="227"/>
      <c r="D2" s="18"/>
      <c r="E2" s="223" t="s">
        <v>83</v>
      </c>
      <c r="F2" s="223"/>
      <c r="G2" s="223"/>
      <c r="H2" s="18"/>
      <c r="I2" s="18"/>
      <c r="J2" s="224" t="s">
        <v>84</v>
      </c>
      <c r="K2" s="225"/>
      <c r="L2" s="226"/>
      <c r="N2" s="18"/>
      <c r="O2" s="18"/>
      <c r="P2" s="18"/>
      <c r="Q2" s="18"/>
      <c r="R2" s="18"/>
      <c r="S2" s="18"/>
    </row>
    <row r="3" spans="1:19" ht="10.5" customHeight="1">
      <c r="A3" s="18"/>
      <c r="B3" s="24" t="s">
        <v>117</v>
      </c>
      <c r="C3" s="24" t="s">
        <v>116</v>
      </c>
      <c r="D3" s="18"/>
      <c r="E3" s="17" t="s">
        <v>80</v>
      </c>
      <c r="F3" s="17" t="s">
        <v>82</v>
      </c>
      <c r="G3" s="17" t="s">
        <v>81</v>
      </c>
      <c r="H3" s="18"/>
      <c r="I3" s="18"/>
      <c r="J3" s="17" t="s">
        <v>80</v>
      </c>
      <c r="K3" s="17" t="s">
        <v>82</v>
      </c>
      <c r="L3" s="17" t="s">
        <v>81</v>
      </c>
      <c r="M3" s="18"/>
      <c r="N3" s="18"/>
      <c r="O3" s="18"/>
      <c r="P3" s="18"/>
      <c r="Q3" s="18"/>
      <c r="R3" s="18"/>
      <c r="S3" s="18"/>
    </row>
    <row r="4" spans="1:19" ht="10.5">
      <c r="A4" s="18"/>
      <c r="B4" s="25" t="s">
        <v>114</v>
      </c>
      <c r="C4" s="25" t="s">
        <v>115</v>
      </c>
      <c r="D4" s="18"/>
      <c r="E4" s="8" t="s">
        <v>55</v>
      </c>
      <c r="F4" s="8">
        <v>85</v>
      </c>
      <c r="G4" s="8">
        <v>115</v>
      </c>
      <c r="H4" s="18"/>
      <c r="I4" s="18"/>
      <c r="J4" s="8" t="s">
        <v>87</v>
      </c>
      <c r="K4" s="8">
        <v>10</v>
      </c>
      <c r="L4" s="8">
        <v>276</v>
      </c>
      <c r="M4" s="18"/>
      <c r="N4" s="18"/>
      <c r="O4" s="18"/>
      <c r="P4" s="18"/>
      <c r="Q4" s="18"/>
      <c r="R4" s="18"/>
      <c r="S4" s="18"/>
    </row>
    <row r="5" spans="1:19" ht="10.5">
      <c r="A5" s="18"/>
      <c r="B5" s="26">
        <v>1</v>
      </c>
      <c r="C5" s="26">
        <v>1</v>
      </c>
      <c r="D5" s="18"/>
      <c r="E5" s="8" t="s">
        <v>56</v>
      </c>
      <c r="F5" s="8">
        <v>85</v>
      </c>
      <c r="G5" s="8">
        <v>105</v>
      </c>
      <c r="H5" s="18"/>
      <c r="I5" s="18"/>
      <c r="J5" s="8" t="s">
        <v>88</v>
      </c>
      <c r="K5" s="8">
        <v>10</v>
      </c>
      <c r="L5" s="8">
        <v>252</v>
      </c>
      <c r="M5" s="18"/>
      <c r="N5" s="18"/>
      <c r="O5" s="18"/>
      <c r="P5" s="18"/>
      <c r="Q5" s="18"/>
      <c r="R5" s="18"/>
      <c r="S5" s="18"/>
    </row>
    <row r="6" spans="1:19" ht="10.5">
      <c r="A6" s="18"/>
      <c r="B6" s="26"/>
      <c r="C6" s="26">
        <v>1.1</v>
      </c>
      <c r="D6" s="18"/>
      <c r="E6" s="8" t="s">
        <v>57</v>
      </c>
      <c r="F6" s="8">
        <v>85</v>
      </c>
      <c r="G6" s="8">
        <v>95</v>
      </c>
      <c r="H6" s="18"/>
      <c r="I6" s="18"/>
      <c r="J6" s="8" t="s">
        <v>89</v>
      </c>
      <c r="K6" s="8">
        <v>9</v>
      </c>
      <c r="L6" s="8">
        <v>234</v>
      </c>
      <c r="M6" s="18"/>
      <c r="N6" s="18"/>
      <c r="O6" s="18"/>
      <c r="P6" s="18"/>
      <c r="Q6" s="18"/>
      <c r="R6" s="18"/>
      <c r="S6" s="18"/>
    </row>
    <row r="7" spans="1:19" ht="10.5">
      <c r="A7" s="18"/>
      <c r="B7" s="26">
        <v>1.2</v>
      </c>
      <c r="C7" s="26">
        <v>1.2</v>
      </c>
      <c r="D7" s="18"/>
      <c r="E7" s="8" t="s">
        <v>58</v>
      </c>
      <c r="F7" s="8">
        <v>75</v>
      </c>
      <c r="G7" s="8">
        <v>90</v>
      </c>
      <c r="H7" s="18"/>
      <c r="I7" s="18"/>
      <c r="J7" s="8" t="s">
        <v>90</v>
      </c>
      <c r="K7" s="8">
        <v>9</v>
      </c>
      <c r="L7" s="8">
        <v>217</v>
      </c>
      <c r="M7" s="18"/>
      <c r="N7" s="18"/>
      <c r="O7" s="18"/>
      <c r="P7" s="18"/>
      <c r="Q7" s="18"/>
      <c r="R7" s="18"/>
      <c r="S7" s="18"/>
    </row>
    <row r="8" spans="1:19" ht="10.5">
      <c r="A8" s="18"/>
      <c r="B8" s="26"/>
      <c r="C8" s="26">
        <v>1.3</v>
      </c>
      <c r="D8" s="18"/>
      <c r="E8" s="6" t="s">
        <v>78</v>
      </c>
      <c r="F8" s="6">
        <v>60</v>
      </c>
      <c r="G8" s="6">
        <v>85</v>
      </c>
      <c r="H8" s="18"/>
      <c r="I8" s="18"/>
      <c r="J8" s="6" t="s">
        <v>91</v>
      </c>
      <c r="K8" s="6">
        <v>8</v>
      </c>
      <c r="L8" s="6">
        <v>193</v>
      </c>
      <c r="M8" s="18"/>
      <c r="N8" s="18"/>
      <c r="O8" s="18"/>
      <c r="P8" s="18"/>
      <c r="Q8" s="18"/>
      <c r="R8" s="18"/>
      <c r="S8" s="18"/>
    </row>
    <row r="9" spans="1:19" ht="10.5">
      <c r="A9" s="18"/>
      <c r="B9" s="28">
        <v>1.5</v>
      </c>
      <c r="C9" s="28">
        <v>1.5</v>
      </c>
      <c r="D9" s="18"/>
      <c r="E9" s="6" t="s">
        <v>59</v>
      </c>
      <c r="F9" s="6">
        <v>35</v>
      </c>
      <c r="G9" s="6">
        <v>80</v>
      </c>
      <c r="H9" s="18"/>
      <c r="I9" s="18"/>
      <c r="J9" s="6" t="s">
        <v>92</v>
      </c>
      <c r="K9" s="6">
        <v>7</v>
      </c>
      <c r="L9" s="6">
        <v>178</v>
      </c>
      <c r="M9" s="18"/>
      <c r="N9" s="18"/>
      <c r="O9" s="18"/>
      <c r="P9" s="18"/>
      <c r="Q9" s="18"/>
      <c r="R9" s="18"/>
      <c r="S9" s="18"/>
    </row>
    <row r="10" spans="1:19" ht="10.5">
      <c r="A10" s="18"/>
      <c r="B10" s="28"/>
      <c r="C10" s="28">
        <v>1.6</v>
      </c>
      <c r="D10" s="18"/>
      <c r="E10" s="6" t="s">
        <v>60</v>
      </c>
      <c r="F10" s="6">
        <v>25</v>
      </c>
      <c r="G10" s="6">
        <v>70</v>
      </c>
      <c r="H10" s="18"/>
      <c r="I10" s="18"/>
      <c r="J10" s="6" t="s">
        <v>93</v>
      </c>
      <c r="K10" s="6">
        <v>5</v>
      </c>
      <c r="L10" s="6">
        <v>162</v>
      </c>
      <c r="M10" s="18"/>
      <c r="N10" s="18"/>
      <c r="O10" s="18"/>
      <c r="P10" s="18"/>
      <c r="Q10" s="18"/>
      <c r="R10" s="18"/>
      <c r="S10" s="18"/>
    </row>
    <row r="11" spans="1:19" ht="10.5">
      <c r="A11" s="18"/>
      <c r="B11" s="28">
        <v>1.8</v>
      </c>
      <c r="C11" s="28">
        <v>1.8</v>
      </c>
      <c r="D11" s="18"/>
      <c r="E11" s="6" t="s">
        <v>61</v>
      </c>
      <c r="F11" s="6">
        <v>10</v>
      </c>
      <c r="G11" s="6">
        <v>64</v>
      </c>
      <c r="H11" s="18"/>
      <c r="I11" s="18"/>
      <c r="J11" s="6" t="s">
        <v>94</v>
      </c>
      <c r="K11" s="6">
        <v>2</v>
      </c>
      <c r="L11" s="6">
        <v>146</v>
      </c>
      <c r="M11" s="18"/>
      <c r="N11" s="18"/>
      <c r="O11" s="18"/>
      <c r="P11" s="18"/>
      <c r="Q11" s="18"/>
      <c r="R11" s="18"/>
      <c r="S11" s="18"/>
    </row>
    <row r="12" spans="1:19" ht="10.5">
      <c r="A12" s="18"/>
      <c r="B12" s="28"/>
      <c r="C12" s="28">
        <v>2</v>
      </c>
      <c r="D12" s="18"/>
      <c r="E12" s="8" t="s">
        <v>79</v>
      </c>
      <c r="F12" s="8">
        <v>8</v>
      </c>
      <c r="G12" s="8">
        <v>58</v>
      </c>
      <c r="H12" s="18"/>
      <c r="I12" s="18"/>
      <c r="J12" s="8" t="s">
        <v>95</v>
      </c>
      <c r="K12" s="8">
        <v>3.5</v>
      </c>
      <c r="L12" s="8">
        <v>133</v>
      </c>
      <c r="M12" s="18"/>
      <c r="N12" s="18"/>
      <c r="O12" s="18"/>
      <c r="P12" s="18"/>
      <c r="Q12" s="18"/>
      <c r="R12" s="18"/>
      <c r="S12" s="18"/>
    </row>
    <row r="13" spans="1:19" ht="10.5">
      <c r="A13" s="18"/>
      <c r="B13" s="26">
        <v>2.2</v>
      </c>
      <c r="C13" s="26">
        <v>2.2</v>
      </c>
      <c r="D13" s="18"/>
      <c r="E13" s="8" t="s">
        <v>62</v>
      </c>
      <c r="F13" s="8">
        <v>7</v>
      </c>
      <c r="G13" s="8">
        <v>53</v>
      </c>
      <c r="H13" s="18"/>
      <c r="I13" s="18"/>
      <c r="J13" s="8" t="s">
        <v>96</v>
      </c>
      <c r="K13" s="8">
        <v>4</v>
      </c>
      <c r="L13" s="8">
        <v>121</v>
      </c>
      <c r="M13" s="18"/>
      <c r="N13" s="18"/>
      <c r="O13" s="18"/>
      <c r="P13" s="18"/>
      <c r="Q13" s="18"/>
      <c r="R13" s="18"/>
      <c r="S13" s="18"/>
    </row>
    <row r="14" spans="1:19" ht="10.5">
      <c r="A14" s="18"/>
      <c r="B14" s="26"/>
      <c r="C14" s="26">
        <v>2.4</v>
      </c>
      <c r="D14" s="18"/>
      <c r="E14" s="8" t="s">
        <v>63</v>
      </c>
      <c r="F14" s="8">
        <v>7</v>
      </c>
      <c r="G14" s="8">
        <v>47</v>
      </c>
      <c r="H14" s="18"/>
      <c r="I14" s="18"/>
      <c r="J14" s="8" t="s">
        <v>97</v>
      </c>
      <c r="K14" s="8">
        <v>4.5</v>
      </c>
      <c r="L14" s="8">
        <v>110</v>
      </c>
      <c r="M14" s="18"/>
      <c r="N14" s="18"/>
      <c r="O14" s="18"/>
      <c r="P14" s="18"/>
      <c r="Q14" s="18"/>
      <c r="R14" s="18"/>
      <c r="S14" s="18"/>
    </row>
    <row r="15" spans="1:19" ht="10.5">
      <c r="A15" s="18"/>
      <c r="B15" s="26">
        <v>2.7</v>
      </c>
      <c r="C15" s="26">
        <v>2.7</v>
      </c>
      <c r="D15" s="18"/>
      <c r="E15" s="8" t="s">
        <v>64</v>
      </c>
      <c r="F15" s="8">
        <v>10</v>
      </c>
      <c r="G15" s="8">
        <v>43</v>
      </c>
      <c r="H15" s="18"/>
      <c r="I15" s="18"/>
      <c r="J15" s="8" t="s">
        <v>98</v>
      </c>
      <c r="K15" s="8">
        <v>5</v>
      </c>
      <c r="L15" s="8">
        <v>100</v>
      </c>
      <c r="M15" s="18"/>
      <c r="N15" s="18"/>
      <c r="O15" s="18"/>
      <c r="P15" s="18"/>
      <c r="Q15" s="18"/>
      <c r="R15" s="18"/>
      <c r="S15" s="18"/>
    </row>
    <row r="16" spans="1:19" ht="10.5">
      <c r="A16" s="18"/>
      <c r="B16" s="26"/>
      <c r="C16" s="26">
        <v>3</v>
      </c>
      <c r="D16" s="18"/>
      <c r="E16" s="6" t="s">
        <v>65</v>
      </c>
      <c r="F16" s="6">
        <v>15</v>
      </c>
      <c r="G16" s="6">
        <v>40</v>
      </c>
      <c r="H16" s="18"/>
      <c r="I16" s="18"/>
      <c r="J16" s="6" t="s">
        <v>99</v>
      </c>
      <c r="K16" s="6">
        <v>7</v>
      </c>
      <c r="L16" s="6">
        <v>91</v>
      </c>
      <c r="M16" s="18"/>
      <c r="N16" s="18"/>
      <c r="O16" s="18"/>
      <c r="P16" s="18"/>
      <c r="Q16" s="18"/>
      <c r="R16" s="18"/>
      <c r="S16" s="18"/>
    </row>
    <row r="17" spans="1:19" ht="10.5">
      <c r="A17" s="18"/>
      <c r="B17" s="28">
        <v>3.3</v>
      </c>
      <c r="C17" s="28">
        <v>3.3</v>
      </c>
      <c r="D17" s="18"/>
      <c r="E17" s="6" t="s">
        <v>66</v>
      </c>
      <c r="F17" s="6">
        <v>20</v>
      </c>
      <c r="G17" s="6">
        <v>36</v>
      </c>
      <c r="H17" s="18"/>
      <c r="I17" s="18"/>
      <c r="J17" s="6" t="s">
        <v>100</v>
      </c>
      <c r="K17" s="6">
        <v>8</v>
      </c>
      <c r="L17" s="6">
        <v>83</v>
      </c>
      <c r="M17" s="18"/>
      <c r="N17" s="18"/>
      <c r="O17" s="18"/>
      <c r="P17" s="18"/>
      <c r="Q17" s="18"/>
      <c r="R17" s="18"/>
      <c r="S17" s="18"/>
    </row>
    <row r="18" spans="1:19" ht="10.5">
      <c r="A18" s="18"/>
      <c r="B18" s="28"/>
      <c r="C18" s="28">
        <v>3.6</v>
      </c>
      <c r="D18" s="18"/>
      <c r="E18" s="6" t="s">
        <v>67</v>
      </c>
      <c r="F18" s="6">
        <v>20</v>
      </c>
      <c r="G18" s="6">
        <v>32</v>
      </c>
      <c r="H18" s="18"/>
      <c r="I18" s="18"/>
      <c r="J18" s="6" t="s">
        <v>101</v>
      </c>
      <c r="K18" s="6">
        <v>9</v>
      </c>
      <c r="L18" s="6">
        <v>76</v>
      </c>
      <c r="M18" s="18"/>
      <c r="N18" s="18"/>
      <c r="O18" s="18"/>
      <c r="P18" s="18"/>
      <c r="Q18" s="18"/>
      <c r="R18" s="18"/>
      <c r="S18" s="18"/>
    </row>
    <row r="19" spans="1:19" ht="10.5">
      <c r="A19" s="18"/>
      <c r="B19" s="28">
        <v>3.9</v>
      </c>
      <c r="C19" s="28">
        <v>3.9</v>
      </c>
      <c r="D19" s="18"/>
      <c r="E19" s="6" t="s">
        <v>68</v>
      </c>
      <c r="F19" s="6">
        <v>26</v>
      </c>
      <c r="G19" s="6">
        <v>29</v>
      </c>
      <c r="H19" s="18"/>
      <c r="I19" s="18"/>
      <c r="J19" s="6" t="s">
        <v>102</v>
      </c>
      <c r="K19" s="6">
        <v>10</v>
      </c>
      <c r="L19" s="6">
        <v>69</v>
      </c>
      <c r="M19" s="18"/>
      <c r="N19" s="18"/>
      <c r="O19" s="18"/>
      <c r="P19" s="18"/>
      <c r="Q19" s="18"/>
      <c r="R19" s="18"/>
      <c r="S19" s="18"/>
    </row>
    <row r="20" spans="1:19" ht="10.5">
      <c r="A20" s="18"/>
      <c r="B20" s="28"/>
      <c r="C20" s="28">
        <v>4.3</v>
      </c>
      <c r="D20" s="18"/>
      <c r="E20" s="8" t="s">
        <v>69</v>
      </c>
      <c r="F20" s="8">
        <v>30</v>
      </c>
      <c r="G20" s="8">
        <v>27</v>
      </c>
      <c r="H20" s="18"/>
      <c r="I20" s="18"/>
      <c r="J20" s="8" t="s">
        <v>103</v>
      </c>
      <c r="K20" s="8">
        <v>14</v>
      </c>
      <c r="L20" s="8">
        <v>61</v>
      </c>
      <c r="M20" s="18"/>
      <c r="N20" s="18"/>
      <c r="O20" s="18"/>
      <c r="P20" s="18"/>
      <c r="Q20" s="18"/>
      <c r="R20" s="18"/>
      <c r="S20" s="18"/>
    </row>
    <row r="21" spans="1:19" ht="10.5">
      <c r="A21" s="18"/>
      <c r="B21" s="26">
        <v>4.7</v>
      </c>
      <c r="C21" s="26">
        <v>4.7</v>
      </c>
      <c r="D21" s="18"/>
      <c r="E21" s="8" t="s">
        <v>70</v>
      </c>
      <c r="F21" s="8">
        <v>40</v>
      </c>
      <c r="G21" s="8">
        <v>24</v>
      </c>
      <c r="H21" s="18"/>
      <c r="I21" s="18"/>
      <c r="J21" s="8" t="s">
        <v>104</v>
      </c>
      <c r="K21" s="8">
        <v>16</v>
      </c>
      <c r="L21" s="8">
        <v>57</v>
      </c>
      <c r="M21" s="18"/>
      <c r="N21" s="18"/>
      <c r="O21" s="18"/>
      <c r="P21" s="18"/>
      <c r="Q21" s="18"/>
      <c r="R21" s="18"/>
      <c r="S21" s="18"/>
    </row>
    <row r="22" spans="1:19" ht="10.5">
      <c r="A22" s="18"/>
      <c r="B22" s="26"/>
      <c r="C22" s="26">
        <v>5.1</v>
      </c>
      <c r="D22" s="18"/>
      <c r="E22" s="8" t="s">
        <v>71</v>
      </c>
      <c r="F22" s="8">
        <v>50</v>
      </c>
      <c r="G22" s="8">
        <v>21</v>
      </c>
      <c r="H22" s="18"/>
      <c r="I22" s="18"/>
      <c r="J22" s="8" t="s">
        <v>105</v>
      </c>
      <c r="K22" s="8">
        <v>20</v>
      </c>
      <c r="L22" s="8">
        <v>50</v>
      </c>
      <c r="M22" s="18"/>
      <c r="N22" s="18"/>
      <c r="O22" s="18"/>
      <c r="P22" s="18"/>
      <c r="Q22" s="18"/>
      <c r="R22" s="18"/>
      <c r="S22" s="18"/>
    </row>
    <row r="23" spans="1:19" ht="10.5">
      <c r="A23" s="18"/>
      <c r="B23" s="26">
        <v>5.6</v>
      </c>
      <c r="C23" s="26">
        <v>5.6</v>
      </c>
      <c r="D23" s="18"/>
      <c r="E23" s="8" t="s">
        <v>72</v>
      </c>
      <c r="F23" s="8">
        <v>55</v>
      </c>
      <c r="G23" s="8">
        <v>20</v>
      </c>
      <c r="H23" s="18"/>
      <c r="I23" s="18"/>
      <c r="J23" s="8" t="s">
        <v>106</v>
      </c>
      <c r="K23" s="8">
        <v>22</v>
      </c>
      <c r="L23" s="8">
        <v>45</v>
      </c>
      <c r="M23" s="18"/>
      <c r="N23" s="18"/>
      <c r="O23" s="18"/>
      <c r="P23" s="18"/>
      <c r="Q23" s="18"/>
      <c r="R23" s="18"/>
      <c r="S23" s="18"/>
    </row>
    <row r="24" spans="1:19" ht="10.5">
      <c r="A24" s="18"/>
      <c r="B24" s="26"/>
      <c r="C24" s="26">
        <v>6.2</v>
      </c>
      <c r="D24" s="18"/>
      <c r="E24" s="6" t="s">
        <v>73</v>
      </c>
      <c r="F24" s="6">
        <v>55</v>
      </c>
      <c r="G24" s="6">
        <v>18</v>
      </c>
      <c r="H24" s="18"/>
      <c r="I24" s="18"/>
      <c r="J24" s="6" t="s">
        <v>107</v>
      </c>
      <c r="K24" s="6">
        <v>23</v>
      </c>
      <c r="L24" s="6">
        <v>41</v>
      </c>
      <c r="M24" s="18"/>
      <c r="N24" s="18"/>
      <c r="O24" s="18"/>
      <c r="P24" s="18"/>
      <c r="Q24" s="18"/>
      <c r="R24" s="18"/>
      <c r="S24" s="18"/>
    </row>
    <row r="25" spans="1:19" ht="10.5">
      <c r="A25" s="18"/>
      <c r="B25" s="28">
        <v>6.8</v>
      </c>
      <c r="C25" s="28">
        <v>6.8</v>
      </c>
      <c r="D25" s="18"/>
      <c r="E25" s="6" t="s">
        <v>74</v>
      </c>
      <c r="F25" s="6">
        <v>80</v>
      </c>
      <c r="G25" s="6">
        <v>16</v>
      </c>
      <c r="H25" s="18"/>
      <c r="I25" s="18"/>
      <c r="J25" s="6" t="s">
        <v>108</v>
      </c>
      <c r="K25" s="6">
        <v>25</v>
      </c>
      <c r="L25" s="6">
        <v>38</v>
      </c>
      <c r="M25" s="18"/>
      <c r="N25" s="18"/>
      <c r="O25" s="18"/>
      <c r="P25" s="18"/>
      <c r="Q25" s="18"/>
      <c r="R25" s="18"/>
      <c r="S25" s="18"/>
    </row>
    <row r="26" spans="1:19" ht="10.5">
      <c r="A26" s="18"/>
      <c r="B26" s="28"/>
      <c r="C26" s="28">
        <v>7.5</v>
      </c>
      <c r="D26" s="18"/>
      <c r="E26" s="6" t="s">
        <v>75</v>
      </c>
      <c r="F26" s="6">
        <v>80</v>
      </c>
      <c r="G26" s="6">
        <v>14</v>
      </c>
      <c r="H26" s="18"/>
      <c r="I26" s="18"/>
      <c r="J26" s="6" t="s">
        <v>109</v>
      </c>
      <c r="K26" s="6">
        <v>35</v>
      </c>
      <c r="L26" s="6">
        <v>34</v>
      </c>
      <c r="M26" s="18"/>
      <c r="N26" s="18"/>
      <c r="O26" s="18"/>
      <c r="P26" s="18"/>
      <c r="Q26" s="18"/>
      <c r="R26" s="18"/>
      <c r="S26" s="18"/>
    </row>
    <row r="27" spans="1:19" ht="10.5">
      <c r="A27" s="18"/>
      <c r="B27" s="28">
        <v>8.2</v>
      </c>
      <c r="C27" s="28">
        <v>8.2</v>
      </c>
      <c r="D27" s="18"/>
      <c r="E27" s="6" t="s">
        <v>76</v>
      </c>
      <c r="F27" s="6">
        <v>80</v>
      </c>
      <c r="G27" s="6">
        <v>13</v>
      </c>
      <c r="H27" s="18"/>
      <c r="I27" s="18"/>
      <c r="J27" s="6" t="s">
        <v>110</v>
      </c>
      <c r="K27" s="6">
        <v>40</v>
      </c>
      <c r="L27" s="6">
        <v>30</v>
      </c>
      <c r="M27" s="18"/>
      <c r="N27" s="18"/>
      <c r="O27" s="18"/>
      <c r="P27" s="18"/>
      <c r="Q27" s="18"/>
      <c r="R27" s="18"/>
      <c r="S27" s="18"/>
    </row>
    <row r="28" spans="1:19" ht="10.5">
      <c r="A28" s="18"/>
      <c r="B28" s="29"/>
      <c r="C28" s="29">
        <v>9.1</v>
      </c>
      <c r="D28" s="18"/>
      <c r="E28" s="6" t="s">
        <v>77</v>
      </c>
      <c r="F28" s="6">
        <v>80</v>
      </c>
      <c r="G28" s="6">
        <v>12</v>
      </c>
      <c r="H28" s="18"/>
      <c r="I28" s="18"/>
      <c r="J28" s="6" t="s">
        <v>111</v>
      </c>
      <c r="K28" s="6">
        <v>45</v>
      </c>
      <c r="L28" s="6">
        <v>27</v>
      </c>
      <c r="M28" s="18"/>
      <c r="N28" s="18"/>
      <c r="O28" s="18"/>
      <c r="P28" s="18"/>
      <c r="Q28" s="18"/>
      <c r="R28" s="18"/>
      <c r="S28" s="18"/>
    </row>
    <row r="29" spans="1:19" ht="10.5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</row>
    <row r="30" spans="1:19" ht="10.5">
      <c r="A30" s="18"/>
      <c r="B30" s="228" t="s">
        <v>131</v>
      </c>
      <c r="C30" s="229"/>
      <c r="D30" s="18"/>
      <c r="E30" s="232" t="s">
        <v>118</v>
      </c>
      <c r="F30" s="232"/>
      <c r="G30" s="232"/>
      <c r="H30" s="18"/>
      <c r="I30" s="18"/>
      <c r="J30" s="220" t="s">
        <v>193</v>
      </c>
      <c r="K30" s="221"/>
      <c r="L30" s="221"/>
      <c r="M30" s="222"/>
      <c r="N30" s="18"/>
      <c r="O30" s="18"/>
      <c r="P30" s="18"/>
      <c r="Q30" s="18"/>
      <c r="R30" s="18"/>
      <c r="S30" s="18"/>
    </row>
    <row r="31" spans="1:19" ht="10.5">
      <c r="A31" s="18"/>
      <c r="B31" s="220" t="s">
        <v>132</v>
      </c>
      <c r="C31" s="222"/>
      <c r="D31" s="18"/>
      <c r="E31" s="233" t="s">
        <v>181</v>
      </c>
      <c r="F31" s="234"/>
      <c r="G31" s="234"/>
      <c r="H31" s="18"/>
      <c r="I31" s="18"/>
      <c r="J31" s="51" t="s">
        <v>194</v>
      </c>
      <c r="K31" s="51" t="s">
        <v>182</v>
      </c>
      <c r="L31" s="51" t="s">
        <v>183</v>
      </c>
      <c r="M31" s="51" t="s">
        <v>203</v>
      </c>
      <c r="N31" s="18"/>
      <c r="O31" s="18"/>
      <c r="P31" s="18"/>
      <c r="Q31" s="18"/>
      <c r="R31" s="18"/>
      <c r="S31" s="18"/>
    </row>
    <row r="32" spans="1:19" ht="10.5">
      <c r="A32" s="18"/>
      <c r="B32" s="230" t="s">
        <v>133</v>
      </c>
      <c r="C32" s="231"/>
      <c r="D32" s="18"/>
      <c r="E32" s="20"/>
      <c r="F32" s="22" t="s">
        <v>177</v>
      </c>
      <c r="G32" s="22" t="s">
        <v>178</v>
      </c>
      <c r="H32" s="18"/>
      <c r="I32" s="18"/>
      <c r="J32" s="25" t="s">
        <v>190</v>
      </c>
      <c r="K32" s="25" t="s">
        <v>190</v>
      </c>
      <c r="L32" s="25" t="s">
        <v>190</v>
      </c>
      <c r="M32" s="25" t="s">
        <v>212</v>
      </c>
      <c r="N32" s="18"/>
      <c r="O32" s="18"/>
      <c r="P32" s="18"/>
      <c r="Q32" s="18"/>
      <c r="R32" s="18"/>
      <c r="S32" s="18"/>
    </row>
    <row r="33" spans="1:19" ht="10.5">
      <c r="A33" s="18"/>
      <c r="B33" s="23" t="s">
        <v>119</v>
      </c>
      <c r="C33" s="27" t="s">
        <v>134</v>
      </c>
      <c r="D33" s="18"/>
      <c r="E33" s="21" t="s">
        <v>147</v>
      </c>
      <c r="F33" s="44"/>
      <c r="G33" s="31" t="s">
        <v>179</v>
      </c>
      <c r="H33" s="18"/>
      <c r="I33" s="18"/>
      <c r="J33" s="21" t="s">
        <v>195</v>
      </c>
      <c r="K33" s="21" t="s">
        <v>184</v>
      </c>
      <c r="L33" s="21" t="s">
        <v>184</v>
      </c>
      <c r="M33" s="21" t="s">
        <v>202</v>
      </c>
      <c r="N33" s="18"/>
      <c r="O33" s="18"/>
      <c r="P33" s="18"/>
      <c r="Q33" s="18"/>
      <c r="R33" s="18"/>
      <c r="S33" s="18"/>
    </row>
    <row r="34" spans="1:19" ht="11.25" thickBot="1">
      <c r="A34" s="18"/>
      <c r="B34" s="23" t="s">
        <v>120</v>
      </c>
      <c r="C34" s="27" t="s">
        <v>135</v>
      </c>
      <c r="D34" s="18"/>
      <c r="E34" s="47" t="s">
        <v>148</v>
      </c>
      <c r="F34" s="48"/>
      <c r="G34" s="49" t="s">
        <v>180</v>
      </c>
      <c r="H34" s="18"/>
      <c r="I34" s="18"/>
      <c r="J34" s="21" t="s">
        <v>196</v>
      </c>
      <c r="K34" s="21" t="s">
        <v>185</v>
      </c>
      <c r="L34" s="21" t="s">
        <v>185</v>
      </c>
      <c r="M34" s="21" t="s">
        <v>204</v>
      </c>
      <c r="N34" s="18"/>
      <c r="O34" s="18"/>
      <c r="P34" s="18"/>
      <c r="Q34" s="18"/>
      <c r="R34" s="18"/>
      <c r="S34" s="18"/>
    </row>
    <row r="35" spans="1:19" ht="11.25" thickTop="1">
      <c r="A35" s="18"/>
      <c r="B35" s="23" t="s">
        <v>1</v>
      </c>
      <c r="C35" s="27" t="s">
        <v>141</v>
      </c>
      <c r="D35" s="18"/>
      <c r="E35" s="41" t="s">
        <v>149</v>
      </c>
      <c r="F35" s="42" t="s">
        <v>159</v>
      </c>
      <c r="G35" s="43" t="s">
        <v>169</v>
      </c>
      <c r="H35" s="32"/>
      <c r="I35" s="52"/>
      <c r="J35" s="21" t="s">
        <v>201</v>
      </c>
      <c r="K35" s="21" t="s">
        <v>186</v>
      </c>
      <c r="L35" s="21" t="s">
        <v>186</v>
      </c>
      <c r="M35" s="21" t="s">
        <v>205</v>
      </c>
      <c r="N35" s="18"/>
      <c r="O35" s="18"/>
      <c r="P35" s="18"/>
      <c r="Q35" s="18"/>
      <c r="R35" s="18"/>
      <c r="S35" s="18"/>
    </row>
    <row r="36" spans="1:19" ht="10.5">
      <c r="A36" s="18"/>
      <c r="B36" s="29" t="s">
        <v>121</v>
      </c>
      <c r="C36" s="30" t="s">
        <v>142</v>
      </c>
      <c r="D36" s="18"/>
      <c r="E36" s="21" t="s">
        <v>150</v>
      </c>
      <c r="F36" s="27" t="s">
        <v>168</v>
      </c>
      <c r="G36" s="31" t="s">
        <v>170</v>
      </c>
      <c r="H36" s="33"/>
      <c r="I36" s="52"/>
      <c r="J36" s="21" t="s">
        <v>197</v>
      </c>
      <c r="K36" s="21" t="s">
        <v>187</v>
      </c>
      <c r="L36" s="21" t="s">
        <v>187</v>
      </c>
      <c r="M36" s="21" t="s">
        <v>213</v>
      </c>
      <c r="N36" s="18"/>
      <c r="O36" s="18"/>
      <c r="P36" s="18"/>
      <c r="Q36" s="18"/>
      <c r="R36" s="18"/>
      <c r="S36" s="18"/>
    </row>
    <row r="37" spans="1:19" ht="10.5">
      <c r="A37" s="18"/>
      <c r="B37" s="29" t="s">
        <v>122</v>
      </c>
      <c r="C37" s="30" t="s">
        <v>143</v>
      </c>
      <c r="D37" s="18"/>
      <c r="E37" s="21" t="s">
        <v>151</v>
      </c>
      <c r="F37" s="27" t="s">
        <v>160</v>
      </c>
      <c r="G37" s="31" t="s">
        <v>172</v>
      </c>
      <c r="H37" s="34"/>
      <c r="I37" s="52"/>
      <c r="J37" s="50" t="s">
        <v>200</v>
      </c>
      <c r="K37" s="50" t="s">
        <v>188</v>
      </c>
      <c r="L37" s="50" t="s">
        <v>189</v>
      </c>
      <c r="M37" s="50" t="s">
        <v>208</v>
      </c>
      <c r="N37" s="18"/>
      <c r="O37" s="18"/>
      <c r="P37" s="18"/>
      <c r="Q37" s="18"/>
      <c r="R37" s="18"/>
      <c r="S37" s="18"/>
    </row>
    <row r="38" spans="1:19" ht="10.5">
      <c r="A38" s="18"/>
      <c r="B38" s="29" t="s">
        <v>123</v>
      </c>
      <c r="C38" s="30" t="s">
        <v>144</v>
      </c>
      <c r="D38" s="18"/>
      <c r="E38" s="21" t="s">
        <v>152</v>
      </c>
      <c r="F38" s="27" t="s">
        <v>161</v>
      </c>
      <c r="G38" s="31" t="s">
        <v>173</v>
      </c>
      <c r="H38" s="35"/>
      <c r="I38" s="52"/>
      <c r="J38" s="50" t="s">
        <v>199</v>
      </c>
      <c r="K38" s="50" t="s">
        <v>192</v>
      </c>
      <c r="L38" s="50" t="s">
        <v>192</v>
      </c>
      <c r="M38" s="50" t="s">
        <v>207</v>
      </c>
      <c r="N38" s="18"/>
      <c r="O38" s="18"/>
      <c r="P38" s="18"/>
      <c r="Q38" s="18"/>
      <c r="R38" s="18"/>
      <c r="S38" s="18"/>
    </row>
    <row r="39" spans="1:19" ht="10.5">
      <c r="A39" s="18"/>
      <c r="B39" s="23" t="s">
        <v>124</v>
      </c>
      <c r="C39" s="27" t="s">
        <v>145</v>
      </c>
      <c r="D39" s="18"/>
      <c r="E39" s="21" t="s">
        <v>153</v>
      </c>
      <c r="F39" s="27" t="s">
        <v>162</v>
      </c>
      <c r="G39" s="31" t="s">
        <v>174</v>
      </c>
      <c r="H39" s="36"/>
      <c r="I39" s="52"/>
      <c r="J39" s="50" t="s">
        <v>198</v>
      </c>
      <c r="K39" s="50" t="s">
        <v>191</v>
      </c>
      <c r="L39" s="50" t="s">
        <v>191</v>
      </c>
      <c r="M39" s="50" t="s">
        <v>206</v>
      </c>
      <c r="N39" s="18"/>
      <c r="O39" s="18"/>
      <c r="P39" s="18"/>
      <c r="Q39" s="18"/>
      <c r="R39" s="18"/>
      <c r="S39" s="18"/>
    </row>
    <row r="40" spans="1:19" ht="10.5">
      <c r="A40" s="18"/>
      <c r="B40" s="23" t="s">
        <v>125</v>
      </c>
      <c r="C40" s="27" t="s">
        <v>146</v>
      </c>
      <c r="D40" s="18"/>
      <c r="E40" s="21" t="s">
        <v>154</v>
      </c>
      <c r="F40" s="27" t="s">
        <v>163</v>
      </c>
      <c r="G40" s="31" t="s">
        <v>171</v>
      </c>
      <c r="H40" s="37"/>
      <c r="I40" s="52"/>
      <c r="J40" s="18"/>
      <c r="K40" s="18"/>
      <c r="L40" s="18"/>
      <c r="M40" s="18"/>
      <c r="N40" s="18"/>
      <c r="O40" s="18"/>
      <c r="P40" s="18"/>
      <c r="Q40" s="18"/>
      <c r="R40" s="18"/>
      <c r="S40" s="18"/>
    </row>
    <row r="41" spans="1:19" ht="10.5">
      <c r="A41" s="18"/>
      <c r="B41" s="23" t="s">
        <v>126</v>
      </c>
      <c r="C41" s="27" t="s">
        <v>136</v>
      </c>
      <c r="D41" s="18"/>
      <c r="E41" s="21" t="s">
        <v>155</v>
      </c>
      <c r="F41" s="27" t="s">
        <v>164</v>
      </c>
      <c r="G41" s="31" t="s">
        <v>175</v>
      </c>
      <c r="H41" s="40"/>
      <c r="I41" s="52"/>
      <c r="J41" s="220" t="s">
        <v>214</v>
      </c>
      <c r="K41" s="221"/>
      <c r="L41" s="221"/>
      <c r="M41" s="222"/>
      <c r="N41" s="18"/>
      <c r="O41" s="18"/>
      <c r="P41" s="18"/>
      <c r="Q41" s="18"/>
      <c r="R41" s="18"/>
      <c r="S41" s="18"/>
    </row>
    <row r="42" spans="1:19" ht="10.5">
      <c r="A42" s="18"/>
      <c r="B42" s="29" t="s">
        <v>127</v>
      </c>
      <c r="C42" s="30" t="s">
        <v>137</v>
      </c>
      <c r="D42" s="18"/>
      <c r="E42" s="21" t="s">
        <v>156</v>
      </c>
      <c r="F42" s="27" t="s">
        <v>165</v>
      </c>
      <c r="G42" s="31" t="s">
        <v>176</v>
      </c>
      <c r="H42" s="38"/>
      <c r="I42" s="52"/>
      <c r="J42" s="51" t="s">
        <v>215</v>
      </c>
      <c r="K42" s="51" t="s">
        <v>216</v>
      </c>
      <c r="L42" s="51" t="s">
        <v>217</v>
      </c>
      <c r="M42" s="51" t="s">
        <v>218</v>
      </c>
      <c r="N42" s="18"/>
      <c r="O42" s="18"/>
      <c r="P42" s="18"/>
      <c r="Q42" s="18"/>
      <c r="R42" s="18"/>
      <c r="S42" s="18"/>
    </row>
    <row r="43" spans="1:19" ht="10.5">
      <c r="A43" s="18"/>
      <c r="B43" s="29" t="s">
        <v>130</v>
      </c>
      <c r="C43" s="30" t="s">
        <v>138</v>
      </c>
      <c r="D43" s="18"/>
      <c r="E43" s="21" t="s">
        <v>157</v>
      </c>
      <c r="F43" s="27" t="s">
        <v>166</v>
      </c>
      <c r="G43" s="45"/>
      <c r="H43" s="39"/>
      <c r="I43" s="52"/>
      <c r="J43" s="25" t="s">
        <v>219</v>
      </c>
      <c r="K43" s="25" t="s">
        <v>212</v>
      </c>
      <c r="L43" s="25" t="s">
        <v>220</v>
      </c>
      <c r="M43" s="25" t="s">
        <v>221</v>
      </c>
      <c r="N43" s="18"/>
      <c r="O43" s="18"/>
      <c r="P43" s="18"/>
      <c r="Q43" s="18"/>
      <c r="R43" s="18"/>
      <c r="S43" s="18"/>
    </row>
    <row r="44" spans="1:19" ht="10.5">
      <c r="A44" s="18"/>
      <c r="B44" s="29" t="s">
        <v>128</v>
      </c>
      <c r="C44" s="30" t="s">
        <v>139</v>
      </c>
      <c r="D44" s="18"/>
      <c r="E44" s="21" t="s">
        <v>158</v>
      </c>
      <c r="F44" s="27" t="s">
        <v>167</v>
      </c>
      <c r="G44" s="46"/>
      <c r="H44" s="21"/>
      <c r="I44" s="52"/>
      <c r="J44" s="21" t="s">
        <v>202</v>
      </c>
      <c r="K44" s="21" t="s">
        <v>202</v>
      </c>
      <c r="L44" s="21" t="s">
        <v>222</v>
      </c>
      <c r="M44" s="21" t="s">
        <v>222</v>
      </c>
      <c r="N44" s="18"/>
      <c r="O44" s="18"/>
      <c r="P44" s="18"/>
      <c r="Q44" s="18"/>
      <c r="R44" s="18"/>
      <c r="S44" s="18"/>
    </row>
    <row r="45" spans="1:19" ht="10.5">
      <c r="A45" s="18"/>
      <c r="B45" s="29" t="s">
        <v>129</v>
      </c>
      <c r="C45" s="30" t="s">
        <v>140</v>
      </c>
      <c r="D45" s="18"/>
      <c r="E45" s="18"/>
      <c r="F45" s="18"/>
      <c r="G45" s="18"/>
      <c r="H45" s="18"/>
      <c r="I45" s="18"/>
      <c r="J45" s="21" t="s">
        <v>223</v>
      </c>
      <c r="K45" s="21" t="s">
        <v>224</v>
      </c>
      <c r="L45" s="21" t="s">
        <v>225</v>
      </c>
      <c r="M45" s="21" t="s">
        <v>226</v>
      </c>
      <c r="N45" s="18"/>
      <c r="O45" s="18"/>
      <c r="P45" s="18"/>
      <c r="Q45" s="18"/>
      <c r="R45" s="18"/>
      <c r="S45" s="18"/>
    </row>
    <row r="46" spans="1:19" ht="10.5">
      <c r="A46" s="18"/>
      <c r="B46" s="18"/>
      <c r="C46" s="18"/>
      <c r="D46" s="18"/>
      <c r="E46" s="18"/>
      <c r="F46" s="18"/>
      <c r="G46" s="18"/>
      <c r="H46" s="18"/>
      <c r="I46" s="18"/>
      <c r="J46" s="21" t="s">
        <v>227</v>
      </c>
      <c r="K46" s="21" t="s">
        <v>228</v>
      </c>
      <c r="L46" s="21" t="s">
        <v>229</v>
      </c>
      <c r="M46" s="21" t="s">
        <v>230</v>
      </c>
      <c r="N46" s="18"/>
      <c r="O46" s="18"/>
      <c r="P46" s="18"/>
      <c r="Q46" s="18"/>
      <c r="R46" s="18"/>
      <c r="S46" s="18"/>
    </row>
    <row r="47" spans="1:19" ht="10.5">
      <c r="A47" s="18"/>
      <c r="B47" s="18"/>
      <c r="C47" s="18"/>
      <c r="D47" s="18"/>
      <c r="E47" s="18"/>
      <c r="F47" s="18"/>
      <c r="G47" s="18"/>
      <c r="H47" s="18"/>
      <c r="I47" s="18"/>
      <c r="J47" s="21" t="s">
        <v>231</v>
      </c>
      <c r="K47" s="21" t="s">
        <v>213</v>
      </c>
      <c r="L47" s="21" t="s">
        <v>231</v>
      </c>
      <c r="M47" s="21" t="s">
        <v>232</v>
      </c>
      <c r="N47" s="18"/>
      <c r="O47" s="18"/>
      <c r="P47" s="18"/>
      <c r="Q47" s="18"/>
      <c r="R47" s="18"/>
      <c r="S47" s="18"/>
    </row>
    <row r="48" spans="1:19" ht="10.5">
      <c r="A48" s="18"/>
      <c r="B48" s="18"/>
      <c r="C48" s="18"/>
      <c r="D48" s="18"/>
      <c r="E48" s="18"/>
      <c r="F48" s="18"/>
      <c r="G48" s="18"/>
      <c r="H48" s="18"/>
      <c r="I48" s="18"/>
      <c r="J48" s="50" t="s">
        <v>233</v>
      </c>
      <c r="K48" s="50" t="s">
        <v>233</v>
      </c>
      <c r="L48" s="50" t="s">
        <v>234</v>
      </c>
      <c r="M48" s="50" t="s">
        <v>235</v>
      </c>
      <c r="N48" s="18"/>
      <c r="O48" s="18"/>
      <c r="P48" s="18"/>
      <c r="Q48" s="18"/>
      <c r="R48" s="18"/>
      <c r="S48" s="18"/>
    </row>
    <row r="49" spans="1:19" ht="10.5">
      <c r="A49" s="18"/>
      <c r="B49" s="18"/>
      <c r="C49" s="18"/>
      <c r="D49" s="18"/>
      <c r="E49" s="18"/>
      <c r="F49" s="18"/>
      <c r="G49" s="18"/>
      <c r="H49" s="18"/>
      <c r="I49" s="18"/>
      <c r="J49" s="50" t="s">
        <v>192</v>
      </c>
      <c r="K49" s="50" t="s">
        <v>192</v>
      </c>
      <c r="L49" s="50" t="s">
        <v>236</v>
      </c>
      <c r="M49" s="50" t="s">
        <v>237</v>
      </c>
      <c r="N49" s="18"/>
      <c r="O49" s="18"/>
      <c r="P49" s="18"/>
      <c r="Q49" s="18"/>
      <c r="R49" s="18"/>
      <c r="S49" s="18"/>
    </row>
    <row r="50" spans="1:19" ht="10.5">
      <c r="A50" s="18"/>
      <c r="B50" s="18"/>
      <c r="C50" s="18"/>
      <c r="D50" s="18"/>
      <c r="E50" s="18"/>
      <c r="F50" s="18"/>
      <c r="G50" s="18"/>
      <c r="H50" s="18"/>
      <c r="I50" s="18"/>
      <c r="J50" s="50" t="s">
        <v>238</v>
      </c>
      <c r="K50" s="50" t="s">
        <v>239</v>
      </c>
      <c r="L50" s="50"/>
      <c r="M50" s="50" t="s">
        <v>240</v>
      </c>
      <c r="N50" s="18"/>
      <c r="O50" s="18"/>
      <c r="P50" s="18"/>
      <c r="Q50" s="18"/>
      <c r="R50" s="18"/>
      <c r="S50" s="18"/>
    </row>
    <row r="51" spans="1:19" ht="10.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</row>
    <row r="52" spans="1:19" ht="10.5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</row>
    <row r="53" spans="1:19" ht="10.5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</row>
    <row r="54" spans="1:19" ht="10.5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</row>
    <row r="55" spans="1:19" ht="10.5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</row>
    <row r="56" spans="1:19" ht="10.5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</row>
    <row r="57" spans="1:19" ht="10.5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</row>
    <row r="58" spans="1:19" ht="10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</row>
    <row r="59" spans="1:19" ht="10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</row>
    <row r="60" spans="1:17" ht="10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</row>
    <row r="61" spans="1:17" ht="10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</row>
    <row r="62" spans="1:17" ht="10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</row>
    <row r="63" spans="1:17" ht="10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</row>
    <row r="64" spans="1:17" ht="10.5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</row>
    <row r="65" spans="1:17" ht="10.5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</row>
    <row r="66" spans="1:17" ht="10.5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</row>
    <row r="67" spans="1:17" ht="10.5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</row>
    <row r="68" spans="1:17" ht="10.5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</row>
    <row r="69" spans="1:17" ht="10.5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</row>
    <row r="70" spans="1:17" ht="10.5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</row>
    <row r="71" spans="1:17" ht="10.5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</row>
    <row r="72" spans="1:17" ht="10.5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</row>
    <row r="73" spans="1:17" ht="10.5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</row>
    <row r="74" spans="1:17" ht="10.5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</row>
    <row r="75" spans="1:17" ht="10.5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</row>
    <row r="76" spans="1:17" ht="10.5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</row>
    <row r="77" spans="1:17" ht="10.5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</row>
    <row r="78" spans="1:17" ht="10.5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</row>
    <row r="79" spans="1:17" ht="10.5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</row>
  </sheetData>
  <sheetProtection/>
  <mergeCells count="10">
    <mergeCell ref="J41:M41"/>
    <mergeCell ref="E2:G2"/>
    <mergeCell ref="J2:L2"/>
    <mergeCell ref="B2:C2"/>
    <mergeCell ref="B30:C30"/>
    <mergeCell ref="J30:M30"/>
    <mergeCell ref="B31:C31"/>
    <mergeCell ref="B32:C32"/>
    <mergeCell ref="E30:G30"/>
    <mergeCell ref="E31:G31"/>
  </mergeCells>
  <printOptions/>
  <pageMargins left="0.1968503937007874" right="0.1968503937007874" top="0.7874015748031497" bottom="0.1968503937007874" header="0" footer="0"/>
  <pageSetup horizontalDpi="600" verticalDpi="600" orientation="landscape" paperSize="9" r:id="rId1"/>
  <ignoredErrors>
    <ignoredError sqref="F36 F37:F44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 Empresa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Pedro Diaz</dc:creator>
  <cp:keywords/>
  <dc:description/>
  <cp:lastModifiedBy>Pedro Díaz Hernández</cp:lastModifiedBy>
  <cp:lastPrinted>2013-02-06T16:17:45Z</cp:lastPrinted>
  <dcterms:created xsi:type="dcterms:W3CDTF">2006-10-04T22:04:41Z</dcterms:created>
  <dcterms:modified xsi:type="dcterms:W3CDTF">2013-02-06T16:18:04Z</dcterms:modified>
  <cp:category/>
  <cp:version/>
  <cp:contentType/>
  <cp:contentStatus/>
</cp:coreProperties>
</file>